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iorg.sharepoint.com/sites/Water-Group-LA/Delade dokument/2022 TRANSCEND/Administrativo 2023/Webstival December 14 2023/"/>
    </mc:Choice>
  </mc:AlternateContent>
  <xr:revisionPtr revIDLastSave="781" documentId="8_{0EF2C8D1-DF05-4F4E-9F63-3C29876F3649}" xr6:coauthVersionLast="47" xr6:coauthVersionMax="47" xr10:uidLastSave="{2035A2B4-754A-45A3-AC0A-E04D05BE63E8}"/>
  <bookViews>
    <workbookView xWindow="-105" yWindow="-16320" windowWidth="29040" windowHeight="15840" xr2:uid="{67BB0197-98CD-4E40-8371-E2A49352CCDB}"/>
  </bookViews>
  <sheets>
    <sheet name="Scheme" sheetId="2" r:id="rId1"/>
    <sheet name="Data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3" i="1" l="1"/>
  <c r="O13" i="1"/>
  <c r="I13" i="1"/>
  <c r="I12" i="1"/>
  <c r="I11" i="1"/>
  <c r="I10" i="1"/>
  <c r="I9" i="1"/>
  <c r="I8" i="1"/>
  <c r="I7" i="1"/>
  <c r="I6" i="1"/>
  <c r="I5" i="1"/>
  <c r="I4" i="1"/>
  <c r="I3" i="1"/>
  <c r="I2" i="1"/>
  <c r="H13" i="1"/>
  <c r="H12" i="1"/>
  <c r="H11" i="1"/>
  <c r="H10" i="1"/>
  <c r="H9" i="1"/>
  <c r="H8" i="1"/>
  <c r="H7" i="1"/>
  <c r="H6" i="1"/>
  <c r="H5" i="1"/>
  <c r="H4" i="1"/>
  <c r="H3" i="1"/>
  <c r="H2" i="1"/>
  <c r="G13" i="1"/>
  <c r="G12" i="1"/>
  <c r="G11" i="1"/>
  <c r="G10" i="1"/>
  <c r="G9" i="1"/>
  <c r="G8" i="1"/>
  <c r="G7" i="1"/>
  <c r="G6" i="1"/>
  <c r="G5" i="1"/>
  <c r="G4" i="1"/>
  <c r="G3" i="1"/>
  <c r="G2" i="1"/>
  <c r="F13" i="1"/>
  <c r="F12" i="1"/>
  <c r="F11" i="1"/>
  <c r="F10" i="1"/>
  <c r="F9" i="1"/>
  <c r="F8" i="1"/>
  <c r="F7" i="1"/>
  <c r="F6" i="1"/>
  <c r="F5" i="1"/>
  <c r="F4" i="1"/>
  <c r="F3" i="1"/>
  <c r="F2" i="1"/>
  <c r="E13" i="1"/>
  <c r="E12" i="1"/>
  <c r="E11" i="1"/>
  <c r="E10" i="1"/>
  <c r="E9" i="1"/>
  <c r="E8" i="1"/>
  <c r="E7" i="1"/>
  <c r="E6" i="1"/>
  <c r="E5" i="1"/>
  <c r="E4" i="1"/>
  <c r="E3" i="1"/>
  <c r="E2" i="1"/>
  <c r="D13" i="1"/>
  <c r="D12" i="1"/>
  <c r="D11" i="1"/>
  <c r="D10" i="1"/>
  <c r="D9" i="1"/>
  <c r="D8" i="1"/>
  <c r="D7" i="1"/>
  <c r="D6" i="1"/>
  <c r="D5" i="1"/>
  <c r="D4" i="1"/>
  <c r="D3" i="1"/>
  <c r="D2" i="1"/>
  <c r="B3" i="1"/>
  <c r="B4" i="1"/>
  <c r="B5" i="1"/>
  <c r="B6" i="1"/>
  <c r="B7" i="1"/>
  <c r="B8" i="1"/>
  <c r="B9" i="1"/>
  <c r="B10" i="1"/>
  <c r="B11" i="1"/>
  <c r="B12" i="1"/>
  <c r="B13" i="1"/>
  <c r="B2" i="1"/>
  <c r="I107" i="1" l="1"/>
  <c r="H107" i="1"/>
  <c r="G107" i="1"/>
  <c r="F107" i="1"/>
  <c r="E107" i="1"/>
  <c r="I106" i="1"/>
  <c r="H106" i="1"/>
  <c r="G106" i="1"/>
  <c r="F106" i="1"/>
  <c r="E106" i="1"/>
  <c r="I105" i="1"/>
  <c r="H105" i="1"/>
  <c r="G105" i="1"/>
  <c r="F105" i="1"/>
  <c r="E105" i="1"/>
  <c r="I104" i="1"/>
  <c r="H104" i="1"/>
  <c r="G104" i="1"/>
  <c r="F104" i="1"/>
  <c r="E104" i="1"/>
  <c r="I103" i="1"/>
  <c r="H103" i="1"/>
  <c r="G103" i="1"/>
  <c r="F103" i="1"/>
  <c r="E103" i="1"/>
  <c r="I102" i="1"/>
  <c r="H102" i="1"/>
  <c r="G102" i="1"/>
  <c r="F102" i="1"/>
  <c r="E102" i="1"/>
  <c r="I101" i="1"/>
  <c r="H101" i="1"/>
  <c r="G101" i="1"/>
  <c r="F101" i="1"/>
  <c r="E101" i="1"/>
  <c r="I100" i="1"/>
  <c r="H100" i="1"/>
  <c r="G100" i="1"/>
  <c r="F100" i="1"/>
  <c r="E100" i="1"/>
  <c r="I99" i="1"/>
  <c r="H99" i="1"/>
  <c r="G99" i="1"/>
  <c r="F99" i="1"/>
  <c r="E99" i="1"/>
  <c r="I98" i="1"/>
  <c r="H98" i="1"/>
  <c r="G98" i="1"/>
  <c r="F98" i="1"/>
  <c r="E98" i="1"/>
  <c r="I97" i="1"/>
  <c r="H97" i="1"/>
  <c r="G97" i="1"/>
  <c r="F97" i="1"/>
  <c r="E97" i="1"/>
  <c r="I96" i="1"/>
  <c r="H96" i="1"/>
  <c r="G96" i="1"/>
  <c r="F96" i="1"/>
  <c r="E96" i="1"/>
  <c r="D107" i="1"/>
  <c r="D106" i="1"/>
  <c r="D105" i="1"/>
  <c r="D104" i="1"/>
  <c r="D103" i="1"/>
  <c r="D102" i="1"/>
  <c r="D101" i="1"/>
  <c r="D100" i="1"/>
  <c r="D99" i="1"/>
  <c r="D98" i="1"/>
  <c r="D97" i="1"/>
  <c r="D96" i="1"/>
  <c r="B107" i="1"/>
  <c r="B106" i="1"/>
  <c r="B105" i="1"/>
  <c r="B104" i="1"/>
  <c r="B103" i="1"/>
  <c r="B102" i="1"/>
  <c r="B101" i="1"/>
  <c r="B100" i="1"/>
  <c r="B99" i="1"/>
  <c r="B98" i="1"/>
  <c r="B97" i="1"/>
  <c r="B96" i="1"/>
  <c r="I92" i="1"/>
  <c r="I91" i="1"/>
  <c r="I90" i="1"/>
  <c r="I89" i="1"/>
  <c r="I88" i="1"/>
  <c r="I87" i="1"/>
  <c r="I86" i="1"/>
  <c r="I85" i="1"/>
  <c r="I84" i="1"/>
  <c r="I83" i="1"/>
  <c r="I82" i="1"/>
  <c r="I81" i="1"/>
  <c r="H92" i="1"/>
  <c r="H91" i="1"/>
  <c r="H90" i="1"/>
  <c r="H89" i="1"/>
  <c r="H88" i="1"/>
  <c r="H87" i="1"/>
  <c r="H86" i="1"/>
  <c r="H85" i="1"/>
  <c r="H84" i="1"/>
  <c r="H83" i="1"/>
  <c r="H82" i="1"/>
  <c r="H81" i="1"/>
  <c r="G92" i="1"/>
  <c r="G91" i="1"/>
  <c r="G90" i="1"/>
  <c r="G89" i="1"/>
  <c r="G88" i="1"/>
  <c r="G87" i="1"/>
  <c r="G86" i="1"/>
  <c r="G85" i="1"/>
  <c r="G84" i="1"/>
  <c r="G83" i="1"/>
  <c r="G82" i="1"/>
  <c r="G81" i="1"/>
  <c r="F92" i="1"/>
  <c r="F91" i="1"/>
  <c r="F90" i="1"/>
  <c r="F89" i="1"/>
  <c r="F88" i="1"/>
  <c r="F87" i="1"/>
  <c r="F86" i="1"/>
  <c r="F85" i="1"/>
  <c r="F84" i="1"/>
  <c r="F83" i="1"/>
  <c r="F82" i="1"/>
  <c r="F81" i="1"/>
  <c r="E92" i="1"/>
  <c r="E91" i="1"/>
  <c r="E90" i="1"/>
  <c r="E89" i="1"/>
  <c r="E88" i="1"/>
  <c r="E87" i="1"/>
  <c r="E86" i="1"/>
  <c r="E85" i="1"/>
  <c r="E84" i="1"/>
  <c r="E83" i="1"/>
  <c r="E82" i="1"/>
  <c r="E81" i="1"/>
  <c r="D92" i="1"/>
  <c r="D91" i="1"/>
  <c r="D90" i="1"/>
  <c r="D89" i="1"/>
  <c r="D88" i="1"/>
  <c r="D87" i="1"/>
  <c r="D86" i="1"/>
  <c r="D85" i="1"/>
  <c r="D84" i="1"/>
  <c r="D83" i="1"/>
  <c r="D82" i="1"/>
  <c r="D81" i="1"/>
  <c r="B82" i="1"/>
  <c r="B83" i="1"/>
  <c r="B84" i="1"/>
  <c r="B85" i="1"/>
  <c r="B86" i="1"/>
  <c r="B87" i="1"/>
  <c r="B88" i="1"/>
  <c r="B89" i="1"/>
  <c r="B90" i="1"/>
  <c r="B91" i="1"/>
  <c r="B92" i="1"/>
  <c r="B81" i="1"/>
  <c r="H38" i="1"/>
  <c r="I36" i="2"/>
  <c r="AP38" i="2"/>
  <c r="AP36" i="2"/>
  <c r="C38" i="1"/>
  <c r="C37" i="1"/>
  <c r="AP26" i="2"/>
  <c r="H17" i="1"/>
  <c r="C17" i="1"/>
  <c r="C16" i="1"/>
  <c r="I6" i="2"/>
  <c r="I4" i="2"/>
  <c r="H55" i="1" l="1"/>
  <c r="E23" i="1"/>
  <c r="D23" i="1" s="1"/>
  <c r="F23" i="1" s="1"/>
  <c r="N17" i="1" s="1"/>
  <c r="E24" i="1"/>
  <c r="D24" i="1" s="1"/>
  <c r="F24" i="1" s="1"/>
  <c r="N18" i="1" s="1"/>
  <c r="E25" i="1"/>
  <c r="D25" i="1" s="1"/>
  <c r="F25" i="1" s="1"/>
  <c r="N19" i="1" s="1"/>
  <c r="E26" i="1"/>
  <c r="D26" i="1" s="1"/>
  <c r="F26" i="1" s="1"/>
  <c r="N20" i="1" s="1"/>
  <c r="E27" i="1"/>
  <c r="D27" i="1" s="1"/>
  <c r="F27" i="1" s="1"/>
  <c r="N21" i="1" s="1"/>
  <c r="E28" i="1"/>
  <c r="D28" i="1" s="1"/>
  <c r="F28" i="1" s="1"/>
  <c r="N22" i="1" s="1"/>
  <c r="E29" i="1"/>
  <c r="E30" i="1"/>
  <c r="D30" i="1" s="1"/>
  <c r="F30" i="1" s="1"/>
  <c r="N24" i="1" s="1"/>
  <c r="E31" i="1"/>
  <c r="D31" i="1" s="1"/>
  <c r="F31" i="1" s="1"/>
  <c r="N25" i="1" s="1"/>
  <c r="E32" i="1"/>
  <c r="D32" i="1" s="1"/>
  <c r="F32" i="1" s="1"/>
  <c r="N26" i="1" s="1"/>
  <c r="E33" i="1"/>
  <c r="D33" i="1" s="1"/>
  <c r="F33" i="1" s="1"/>
  <c r="N27" i="1" s="1"/>
  <c r="E22" i="1"/>
  <c r="D22" i="1" s="1"/>
  <c r="F22" i="1" s="1"/>
  <c r="N16" i="1" s="1"/>
  <c r="W3" i="1"/>
  <c r="E44" i="1" s="1"/>
  <c r="D44" i="1" s="1"/>
  <c r="F44" i="1" s="1"/>
  <c r="W4" i="1"/>
  <c r="E45" i="1" s="1"/>
  <c r="D45" i="1" s="1"/>
  <c r="F45" i="1" s="1"/>
  <c r="W5" i="1"/>
  <c r="E46" i="1" s="1"/>
  <c r="D46" i="1" s="1"/>
  <c r="F46" i="1" s="1"/>
  <c r="W6" i="1"/>
  <c r="E47" i="1" s="1"/>
  <c r="D47" i="1" s="1"/>
  <c r="F47" i="1" s="1"/>
  <c r="W7" i="1"/>
  <c r="E48" i="1" s="1"/>
  <c r="D48" i="1" s="1"/>
  <c r="F48" i="1" s="1"/>
  <c r="W8" i="1"/>
  <c r="E49" i="1" s="1"/>
  <c r="D49" i="1" s="1"/>
  <c r="F49" i="1" s="1"/>
  <c r="W9" i="1"/>
  <c r="E50" i="1" s="1"/>
  <c r="D50" i="1" s="1"/>
  <c r="F50" i="1" s="1"/>
  <c r="W10" i="1"/>
  <c r="E51" i="1" s="1"/>
  <c r="D51" i="1" s="1"/>
  <c r="F51" i="1" s="1"/>
  <c r="W11" i="1"/>
  <c r="E52" i="1" s="1"/>
  <c r="D52" i="1" s="1"/>
  <c r="F52" i="1" s="1"/>
  <c r="W12" i="1"/>
  <c r="E53" i="1" s="1"/>
  <c r="D53" i="1" s="1"/>
  <c r="F53" i="1" s="1"/>
  <c r="W13" i="1"/>
  <c r="E54" i="1" s="1"/>
  <c r="D54" i="1" s="1"/>
  <c r="F54" i="1" s="1"/>
  <c r="W2" i="1"/>
  <c r="E43" i="1" s="1"/>
  <c r="D43" i="1" s="1"/>
  <c r="F43" i="1" s="1"/>
  <c r="V3" i="1"/>
  <c r="V4" i="1"/>
  <c r="V5" i="1"/>
  <c r="V6" i="1"/>
  <c r="V7" i="1"/>
  <c r="V8" i="1"/>
  <c r="V9" i="1"/>
  <c r="V10" i="1"/>
  <c r="V11" i="1"/>
  <c r="V12" i="1"/>
  <c r="V13" i="1"/>
  <c r="V2" i="1"/>
  <c r="U3" i="1"/>
  <c r="U4" i="1"/>
  <c r="U5" i="1"/>
  <c r="U6" i="1"/>
  <c r="U7" i="1"/>
  <c r="U8" i="1"/>
  <c r="U9" i="1"/>
  <c r="U10" i="1"/>
  <c r="U11" i="1"/>
  <c r="U12" i="1"/>
  <c r="U13" i="1"/>
  <c r="U2" i="1"/>
  <c r="T3" i="1"/>
  <c r="J44" i="1" s="1"/>
  <c r="I44" i="1" s="1"/>
  <c r="R17" i="1" s="1"/>
  <c r="T4" i="1"/>
  <c r="J45" i="1" s="1"/>
  <c r="I45" i="1" s="1"/>
  <c r="R18" i="1" s="1"/>
  <c r="T5" i="1"/>
  <c r="J46" i="1" s="1"/>
  <c r="I46" i="1" s="1"/>
  <c r="R19" i="1" s="1"/>
  <c r="T6" i="1"/>
  <c r="J47" i="1" s="1"/>
  <c r="I47" i="1" s="1"/>
  <c r="R20" i="1" s="1"/>
  <c r="T7" i="1"/>
  <c r="J48" i="1" s="1"/>
  <c r="I48" i="1" s="1"/>
  <c r="R21" i="1" s="1"/>
  <c r="T8" i="1"/>
  <c r="J49" i="1" s="1"/>
  <c r="I49" i="1" s="1"/>
  <c r="R22" i="1" s="1"/>
  <c r="T9" i="1"/>
  <c r="J50" i="1" s="1"/>
  <c r="I50" i="1" s="1"/>
  <c r="R23" i="1" s="1"/>
  <c r="T10" i="1"/>
  <c r="J51" i="1" s="1"/>
  <c r="I51" i="1" s="1"/>
  <c r="R24" i="1" s="1"/>
  <c r="T11" i="1"/>
  <c r="J52" i="1" s="1"/>
  <c r="I52" i="1" s="1"/>
  <c r="R25" i="1" s="1"/>
  <c r="T12" i="1"/>
  <c r="J53" i="1" s="1"/>
  <c r="I53" i="1" s="1"/>
  <c r="R26" i="1" s="1"/>
  <c r="T13" i="1"/>
  <c r="J54" i="1" s="1"/>
  <c r="I54" i="1" s="1"/>
  <c r="R27" i="1" s="1"/>
  <c r="T2" i="1"/>
  <c r="J43" i="1" s="1"/>
  <c r="S3" i="1"/>
  <c r="S4" i="1"/>
  <c r="S5" i="1"/>
  <c r="S6" i="1"/>
  <c r="S7" i="1"/>
  <c r="S8" i="1"/>
  <c r="S9" i="1"/>
  <c r="S10" i="1"/>
  <c r="S11" i="1"/>
  <c r="S12" i="1"/>
  <c r="S13" i="1"/>
  <c r="S2" i="1"/>
  <c r="E55" i="1" l="1"/>
  <c r="AR38" i="2" s="1"/>
  <c r="F55" i="1"/>
  <c r="D29" i="1"/>
  <c r="F29" i="1" s="1"/>
  <c r="N23" i="1" s="1"/>
  <c r="N28" i="1" s="1"/>
  <c r="AD7" i="2" s="1"/>
  <c r="E34" i="1"/>
  <c r="O16" i="1"/>
  <c r="J55" i="1"/>
  <c r="I43" i="1"/>
  <c r="R16" i="1" s="1"/>
  <c r="R28" i="1" s="1"/>
  <c r="Z39" i="2" s="1"/>
  <c r="C55" i="1"/>
  <c r="H34" i="1"/>
  <c r="C34" i="1"/>
  <c r="P16" i="1" l="1"/>
  <c r="Q16" i="1" s="1"/>
  <c r="AT38" i="2"/>
  <c r="M36" i="2"/>
  <c r="K36" i="2"/>
  <c r="AR36" i="2"/>
  <c r="AT36" i="2"/>
  <c r="F34" i="1"/>
  <c r="M4" i="2" s="1"/>
  <c r="M6" i="2"/>
  <c r="K6" i="2"/>
  <c r="O17" i="1"/>
  <c r="P17" i="1" s="1"/>
  <c r="Q17" i="1" s="1"/>
  <c r="S17" i="1" s="1"/>
  <c r="K4" i="2" l="1"/>
  <c r="O18" i="1"/>
  <c r="O19" i="1" s="1"/>
  <c r="S16" i="1"/>
  <c r="J23" i="1"/>
  <c r="I23" i="1" s="1"/>
  <c r="P18" i="1" l="1"/>
  <c r="Q18" i="1" s="1"/>
  <c r="S18" i="1" s="1"/>
  <c r="J24" i="1" s="1"/>
  <c r="T18" i="1" s="1"/>
  <c r="U18" i="1" s="1"/>
  <c r="J22" i="1"/>
  <c r="T17" i="1"/>
  <c r="U17" i="1" s="1"/>
  <c r="O20" i="1"/>
  <c r="P19" i="1"/>
  <c r="Q19" i="1" s="1"/>
  <c r="I22" i="1" l="1"/>
  <c r="T16" i="1"/>
  <c r="S19" i="1"/>
  <c r="I24" i="1"/>
  <c r="O21" i="1"/>
  <c r="P20" i="1"/>
  <c r="Q20" i="1" s="1"/>
  <c r="S20" i="1" s="1"/>
  <c r="U16" i="1" l="1"/>
  <c r="J25" i="1"/>
  <c r="I25" i="1" s="1"/>
  <c r="J26" i="1"/>
  <c r="I26" i="1" s="1"/>
  <c r="O22" i="1"/>
  <c r="P21" i="1"/>
  <c r="Q21" i="1" s="1"/>
  <c r="S21" i="1" s="1"/>
  <c r="T19" i="1" l="1"/>
  <c r="V16" i="1"/>
  <c r="T20" i="1"/>
  <c r="U20" i="1" s="1"/>
  <c r="J27" i="1"/>
  <c r="I27" i="1" s="1"/>
  <c r="O23" i="1"/>
  <c r="P22" i="1"/>
  <c r="Q22" i="1" s="1"/>
  <c r="S22" i="1" s="1"/>
  <c r="V17" i="1" l="1"/>
  <c r="V18" i="1" s="1"/>
  <c r="U19" i="1"/>
  <c r="T21" i="1"/>
  <c r="U21" i="1" s="1"/>
  <c r="J28" i="1"/>
  <c r="I28" i="1" s="1"/>
  <c r="O24" i="1"/>
  <c r="P23" i="1"/>
  <c r="Q23" i="1" s="1"/>
  <c r="S23" i="1" s="1"/>
  <c r="V19" i="1" l="1"/>
  <c r="V20" i="1" s="1"/>
  <c r="V21" i="1" s="1"/>
  <c r="J29" i="1"/>
  <c r="I29" i="1" s="1"/>
  <c r="T22" i="1"/>
  <c r="O25" i="1"/>
  <c r="P24" i="1"/>
  <c r="Q24" i="1" s="1"/>
  <c r="S24" i="1" s="1"/>
  <c r="U22" i="1" l="1"/>
  <c r="J30" i="1"/>
  <c r="T24" i="1" s="1"/>
  <c r="U24" i="1" s="1"/>
  <c r="T23" i="1"/>
  <c r="U23" i="1" s="1"/>
  <c r="O26" i="1"/>
  <c r="P25" i="1"/>
  <c r="Q25" i="1" s="1"/>
  <c r="S25" i="1" s="1"/>
  <c r="V22" i="1" l="1"/>
  <c r="J31" i="1"/>
  <c r="T25" i="1" s="1"/>
  <c r="U25" i="1" s="1"/>
  <c r="I30" i="1"/>
  <c r="O27" i="1"/>
  <c r="O29" i="1" s="1"/>
  <c r="F21" i="2" s="1"/>
  <c r="P26" i="1"/>
  <c r="Q26" i="1" s="1"/>
  <c r="S26" i="1" s="1"/>
  <c r="P27" i="1" l="1"/>
  <c r="O28" i="1"/>
  <c r="F20" i="2" s="1"/>
  <c r="V23" i="1"/>
  <c r="V24" i="1" s="1"/>
  <c r="V25" i="1" s="1"/>
  <c r="J32" i="1"/>
  <c r="T26" i="1" s="1"/>
  <c r="U26" i="1" s="1"/>
  <c r="I31" i="1"/>
  <c r="Q27" i="1" l="1"/>
  <c r="P28" i="1"/>
  <c r="S24" i="2" s="1"/>
  <c r="V26" i="1"/>
  <c r="I32" i="1"/>
  <c r="S27" i="1" l="1"/>
  <c r="Q28" i="1"/>
  <c r="AF26" i="2" s="1"/>
  <c r="S28" i="1" l="1"/>
  <c r="AG28" i="2" s="1"/>
  <c r="J33" i="1"/>
  <c r="J34" i="1" s="1"/>
  <c r="AR26" i="2" l="1"/>
  <c r="AT26" i="2"/>
  <c r="T27" i="1"/>
  <c r="I33" i="1"/>
  <c r="U27" i="1" l="1"/>
  <c r="T28" i="1"/>
  <c r="AI30" i="2" s="1"/>
  <c r="V27" i="1" l="1"/>
  <c r="U28" i="1"/>
  <c r="V28" i="1" l="1"/>
  <c r="AT45" i="2" s="1"/>
  <c r="V29" i="1"/>
  <c r="AT46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986C6B-A543-4419-A454-128493519EB4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<sst xmlns="http://schemas.openxmlformats.org/spreadsheetml/2006/main" count="286" uniqueCount="78">
  <si>
    <t>Input and Output of the Lake</t>
  </si>
  <si>
    <t>Water Use in Titicaca</t>
  </si>
  <si>
    <t>SCENARIO</t>
  </si>
  <si>
    <t>Type</t>
  </si>
  <si>
    <t>Capacity of water use</t>
  </si>
  <si>
    <t>Area [Ha]</t>
  </si>
  <si>
    <t>Irrigation</t>
  </si>
  <si>
    <t>Water use</t>
  </si>
  <si>
    <t>Average</t>
  </si>
  <si>
    <t>Agriculture</t>
  </si>
  <si>
    <t>cms</t>
  </si>
  <si>
    <t>Personas</t>
  </si>
  <si>
    <t>Cobertura</t>
  </si>
  <si>
    <t>Domestic</t>
  </si>
  <si>
    <t>Infraestructure</t>
  </si>
  <si>
    <t>Desaguadero River</t>
  </si>
  <si>
    <t>Titicaca Lake</t>
  </si>
  <si>
    <t>MCM</t>
  </si>
  <si>
    <t>Minimun</t>
  </si>
  <si>
    <t>Desaguadero Water Use</t>
  </si>
  <si>
    <t>Capacity of Water Use</t>
  </si>
  <si>
    <t>Irrigated</t>
  </si>
  <si>
    <t>Water Use</t>
  </si>
  <si>
    <t>Caplina Water Use</t>
  </si>
  <si>
    <t>Poopo Water Use</t>
  </si>
  <si>
    <t>Tipo</t>
  </si>
  <si>
    <t>Capacidad de uso</t>
  </si>
  <si>
    <t>Riego</t>
  </si>
  <si>
    <t>Caudal Usado</t>
  </si>
  <si>
    <t>Below 100</t>
  </si>
  <si>
    <t>Poopo Lake</t>
  </si>
  <si>
    <t>Mauri</t>
  </si>
  <si>
    <t>Ensure Level Never is below 100</t>
  </si>
  <si>
    <t>Date</t>
  </si>
  <si>
    <t>Inflow Lake</t>
  </si>
  <si>
    <t>Titicaca</t>
  </si>
  <si>
    <t>Out_Titicaca</t>
  </si>
  <si>
    <t>Desaguadero</t>
  </si>
  <si>
    <t>Ulloma</t>
  </si>
  <si>
    <t>Out Desaguadero</t>
  </si>
  <si>
    <t>Poopo Inflow</t>
  </si>
  <si>
    <t>Scenario</t>
  </si>
  <si>
    <t>NET_Titicaca</t>
  </si>
  <si>
    <t>NET_Poopo</t>
  </si>
  <si>
    <t>Jan</t>
  </si>
  <si>
    <t>Feb</t>
  </si>
  <si>
    <t>Dry</t>
  </si>
  <si>
    <t>Mar</t>
  </si>
  <si>
    <t>Extremely Dry</t>
  </si>
  <si>
    <t>Apr</t>
  </si>
  <si>
    <t>May</t>
  </si>
  <si>
    <t>Jun</t>
  </si>
  <si>
    <t>Jul</t>
  </si>
  <si>
    <t>Aug</t>
  </si>
  <si>
    <t>Sep</t>
  </si>
  <si>
    <t>Oct</t>
  </si>
  <si>
    <t>Nov</t>
  </si>
  <si>
    <t>average</t>
  </si>
  <si>
    <t>Dec</t>
  </si>
  <si>
    <t>Demanda Titicaca</t>
  </si>
  <si>
    <t>Use</t>
  </si>
  <si>
    <t>Ingreso lago</t>
  </si>
  <si>
    <t>Salida Lago</t>
  </si>
  <si>
    <t>Poopo</t>
  </si>
  <si>
    <t>available</t>
  </si>
  <si>
    <t>Ene</t>
  </si>
  <si>
    <t>Agricul</t>
  </si>
  <si>
    <t>CMS</t>
  </si>
  <si>
    <t>personas</t>
  </si>
  <si>
    <t>Agricultura</t>
  </si>
  <si>
    <t>Ha</t>
  </si>
  <si>
    <t>Available</t>
  </si>
  <si>
    <t>Dom Supplied</t>
  </si>
  <si>
    <t>Agr Supplied</t>
  </si>
  <si>
    <t>Ago</t>
  </si>
  <si>
    <t>Dic</t>
  </si>
  <si>
    <t>Mauri Uchusuma</t>
  </si>
  <si>
    <t>Domestica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</si>
</sst>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164" fontId="4" fillId="0" borderId="0" xfId="0" applyNumberFormat="1" applyFont="1"/>
    <xf numFmtId="0" fontId="4" fillId="0" borderId="0" xfId="0" applyFont="1"/>
    <xf numFmtId="2" fontId="0" fillId="0" borderId="0" xfId="0" applyNumberFormat="1" applyAlignment="1">
      <alignment horizontal="center"/>
    </xf>
    <xf numFmtId="165" fontId="2" fillId="0" borderId="0" xfId="0" applyNumberFormat="1" applyFont="1"/>
    <xf numFmtId="0" fontId="0" fillId="2" borderId="0" xfId="0" applyFill="1"/>
    <xf numFmtId="1" fontId="0" fillId="0" borderId="0" xfId="0" applyNumberFormat="1" applyAlignment="1">
      <alignment horizontal="center"/>
    </xf>
    <xf numFmtId="0" fontId="2" fillId="2" borderId="0" xfId="0" applyFont="1" applyFill="1"/>
    <xf numFmtId="0" fontId="5" fillId="2" borderId="0" xfId="0" applyFont="1" applyFill="1"/>
    <xf numFmtId="1" fontId="0" fillId="0" borderId="0" xfId="0" applyNumberFormat="1"/>
    <xf numFmtId="1" fontId="6" fillId="0" borderId="0" xfId="0" applyNumberFormat="1" applyFont="1"/>
    <xf numFmtId="1" fontId="7" fillId="2" borderId="0" xfId="0" applyNumberFormat="1" applyFon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2" fillId="2" borderId="1" xfId="0" applyFont="1" applyFill="1" applyBorder="1"/>
    <xf numFmtId="1" fontId="0" fillId="2" borderId="1" xfId="0" applyNumberFormat="1" applyFill="1" applyBorder="1" applyAlignment="1">
      <alignment horizontal="center"/>
    </xf>
    <xf numFmtId="0" fontId="8" fillId="3" borderId="1" xfId="0" applyFont="1" applyFill="1" applyBorder="1"/>
    <xf numFmtId="9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9" fontId="4" fillId="2" borderId="0" xfId="1" applyFont="1" applyFill="1" applyAlignment="1">
      <alignment horizontal="center"/>
    </xf>
    <xf numFmtId="9" fontId="4" fillId="2" borderId="1" xfId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/>
    </xf>
    <xf numFmtId="0" fontId="9" fillId="3" borderId="1" xfId="0" applyFont="1" applyFill="1" applyBorder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2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" fontId="11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9" fontId="0" fillId="2" borderId="0" xfId="1" applyFont="1" applyFill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0" fontId="0" fillId="2" borderId="0" xfId="1" applyNumberFormat="1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00975253111647"/>
          <c:y val="6.9477980155258662E-2"/>
          <c:w val="0.75546643711035688"/>
          <c:h val="0.72886728014844515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Data!$M$16:$M$27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Data!$O$16:$O$27</c:f>
              <c:numCache>
                <c:formatCode>0</c:formatCode>
                <c:ptCount val="12"/>
                <c:pt idx="0">
                  <c:v>926741.57008608</c:v>
                </c:pt>
                <c:pt idx="1">
                  <c:v>928862.64263520006</c:v>
                </c:pt>
                <c:pt idx="2">
                  <c:v>930216.41420256009</c:v>
                </c:pt>
                <c:pt idx="3">
                  <c:v>930378.40124256012</c:v>
                </c:pt>
                <c:pt idx="4">
                  <c:v>929887.03804896015</c:v>
                </c:pt>
                <c:pt idx="5">
                  <c:v>929304.4031049601</c:v>
                </c:pt>
                <c:pt idx="6">
                  <c:v>928575.43074432015</c:v>
                </c:pt>
                <c:pt idx="7">
                  <c:v>927713.12247618439</c:v>
                </c:pt>
                <c:pt idx="8">
                  <c:v>926797.87368686544</c:v>
                </c:pt>
                <c:pt idx="9">
                  <c:v>925973.84705775522</c:v>
                </c:pt>
                <c:pt idx="10">
                  <c:v>925215.11681775528</c:v>
                </c:pt>
                <c:pt idx="11">
                  <c:v>925206.20310255524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1-45A0-9DF7-685C933E5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914607"/>
        <c:axId val="2095981904"/>
      </c:lineChart>
      <c:catAx>
        <c:axId val="70291460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5981904"/>
        <c:crosses val="autoZero"/>
        <c:auto val="1"/>
        <c:lblAlgn val="ctr"/>
        <c:lblOffset val="100"/>
        <c:noMultiLvlLbl val="0"/>
      </c:catAx>
      <c:valAx>
        <c:axId val="2095981904"/>
        <c:scaling>
          <c:orientation val="minMax"/>
          <c:min val="91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MCM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914607"/>
        <c:crosses val="autoZero"/>
        <c:crossBetween val="between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85179175507168"/>
          <c:y val="6.3145764095612553E-2"/>
          <c:w val="0.78493835100210607"/>
          <c:h val="0.72972084604367049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Data!$M$16:$M$27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Data!$V$16:$V$27</c:f>
              <c:numCache>
                <c:formatCode>0</c:formatCode>
                <c:ptCount val="12"/>
                <c:pt idx="0">
                  <c:v>911.62528611244761</c:v>
                </c:pt>
                <c:pt idx="1">
                  <c:v>1189.8855698493664</c:v>
                </c:pt>
                <c:pt idx="2">
                  <c:v>1361.1268418321461</c:v>
                </c:pt>
                <c:pt idx="3">
                  <c:v>1402.9304524518984</c:v>
                </c:pt>
                <c:pt idx="4">
                  <c:v>1384.6374745059923</c:v>
                </c:pt>
                <c:pt idx="5">
                  <c:v>1354.9059927901578</c:v>
                </c:pt>
                <c:pt idx="6">
                  <c:v>1306.3620211373729</c:v>
                </c:pt>
                <c:pt idx="7">
                  <c:v>1203.6259297653219</c:v>
                </c:pt>
                <c:pt idx="8">
                  <c:v>1087.9970846586548</c:v>
                </c:pt>
                <c:pt idx="9">
                  <c:v>959.46876348206069</c:v>
                </c:pt>
                <c:pt idx="10">
                  <c:v>846.48133235314106</c:v>
                </c:pt>
                <c:pt idx="11">
                  <c:v>807.68516139464509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B-4BB1-8E75-6AB2EA081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914607"/>
        <c:axId val="2095981904"/>
      </c:lineChart>
      <c:catAx>
        <c:axId val="70291460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5981904"/>
        <c:crosses val="autoZero"/>
        <c:auto val="1"/>
        <c:lblAlgn val="ctr"/>
        <c:lblOffset val="100"/>
        <c:noMultiLvlLbl val="0"/>
      </c:catAx>
      <c:valAx>
        <c:axId val="20959819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MCM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914607"/>
        <c:crosses val="autoZero"/>
        <c:crossBetween val="between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00975253111647"/>
          <c:y val="6.9477980155258662E-2"/>
          <c:w val="0.75546643711035688"/>
          <c:h val="0.64688631519988238"/>
        </c:manualLayout>
      </c:layout>
      <c:lineChart>
        <c:grouping val="standard"/>
        <c:varyColors val="0"/>
        <c:ser>
          <c:idx val="0"/>
          <c:order val="0"/>
          <c:tx>
            <c:strRef>
              <c:f>Data!$N$15</c:f>
              <c:strCache>
                <c:ptCount val="1"/>
                <c:pt idx="0">
                  <c:v>Ingreso lago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Data!$M$16:$M$27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Data!$N$16:$N$27</c:f>
              <c:numCache>
                <c:formatCode>0</c:formatCode>
                <c:ptCount val="12"/>
                <c:pt idx="0">
                  <c:v>526.85500000000002</c:v>
                </c:pt>
                <c:pt idx="1">
                  <c:v>820.01900000000001</c:v>
                </c:pt>
                <c:pt idx="2">
                  <c:v>565.87199999999996</c:v>
                </c:pt>
                <c:pt idx="3">
                  <c:v>323.99</c:v>
                </c:pt>
                <c:pt idx="4">
                  <c:v>174.45099999999999</c:v>
                </c:pt>
                <c:pt idx="5">
                  <c:v>105.926</c:v>
                </c:pt>
                <c:pt idx="6">
                  <c:v>71.977900000000005</c:v>
                </c:pt>
                <c:pt idx="7">
                  <c:v>54.79934099702453</c:v>
                </c:pt>
                <c:pt idx="8">
                  <c:v>53.201757207212438</c:v>
                </c:pt>
                <c:pt idx="9">
                  <c:v>57.970701795762992</c:v>
                </c:pt>
                <c:pt idx="10">
                  <c:v>76.069000000000003</c:v>
                </c:pt>
                <c:pt idx="11">
                  <c:v>165.19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C-4DF1-A48C-B0AB9E1AB88D}"/>
            </c:ext>
          </c:extLst>
        </c:ser>
        <c:ser>
          <c:idx val="1"/>
          <c:order val="1"/>
          <c:tx>
            <c:strRef>
              <c:f>Data!$P$15</c:f>
              <c:strCache>
                <c:ptCount val="1"/>
                <c:pt idx="0">
                  <c:v>Salida Lago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Data!$M$16:$M$27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Data!$P$16:$P$27</c:f>
              <c:numCache>
                <c:formatCode>0</c:formatCode>
                <c:ptCount val="12"/>
                <c:pt idx="0">
                  <c:v>6.685968829318881</c:v>
                </c:pt>
                <c:pt idx="1">
                  <c:v>13.310911994427443</c:v>
                </c:pt>
                <c:pt idx="2">
                  <c:v>19.207366660237312</c:v>
                </c:pt>
                <c:pt idx="3">
                  <c:v>20.008236195892096</c:v>
                </c:pt>
                <c:pt idx="4">
                  <c:v>17.64328445866704</c:v>
                </c:pt>
                <c:pt idx="5">
                  <c:v>15.08262094296515</c:v>
                </c:pt>
                <c:pt idx="6">
                  <c:v>12.235057298094034</c:v>
                </c:pt>
                <c:pt idx="7">
                  <c:v>9.3503332138061523</c:v>
                </c:pt>
                <c:pt idx="8">
                  <c:v>6.8242779206484556</c:v>
                </c:pt>
                <c:pt idx="9">
                  <c:v>4.9875024855136871</c:v>
                </c:pt>
                <c:pt idx="10">
                  <c:v>3.6351270638406277</c:v>
                </c:pt>
                <c:pt idx="11">
                  <c:v>3.6210691463202238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C-4DF1-A48C-B0AB9E1A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914607"/>
        <c:axId val="2095981904"/>
      </c:lineChart>
      <c:catAx>
        <c:axId val="70291460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5981904"/>
        <c:crossesAt val="0.1"/>
        <c:auto val="1"/>
        <c:lblAlgn val="ctr"/>
        <c:lblOffset val="100"/>
        <c:noMultiLvlLbl val="0"/>
      </c:catAx>
      <c:valAx>
        <c:axId val="2095981904"/>
        <c:scaling>
          <c:logBase val="10"/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Flow [m3/s]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914607"/>
        <c:crosses val="autoZero"/>
        <c:crossBetween val="between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4.1442945544703486E-2"/>
          <c:y val="0.86054261429914158"/>
          <c:w val="0.95152240743394334"/>
          <c:h val="0.102878588154422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00975253111647"/>
          <c:y val="6.9477980155258662E-2"/>
          <c:w val="0.75546643711035688"/>
          <c:h val="0.53968053770723623"/>
        </c:manualLayout>
      </c:layout>
      <c:lineChart>
        <c:grouping val="standard"/>
        <c:varyColors val="0"/>
        <c:ser>
          <c:idx val="1"/>
          <c:order val="0"/>
          <c:tx>
            <c:strRef>
              <c:f>Data!$Q$15</c:f>
              <c:strCache>
                <c:ptCount val="1"/>
                <c:pt idx="0">
                  <c:v>Desaguadero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Data!$M$16:$M$27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Data!$Q$16:$Q$27</c:f>
              <c:numCache>
                <c:formatCode>0</c:formatCode>
                <c:ptCount val="12"/>
                <c:pt idx="0">
                  <c:v>35.103968829318887</c:v>
                </c:pt>
                <c:pt idx="1">
                  <c:v>56.450011994427442</c:v>
                </c:pt>
                <c:pt idx="2">
                  <c:v>45.680366660237311</c:v>
                </c:pt>
                <c:pt idx="3">
                  <c:v>34.6830361958921</c:v>
                </c:pt>
                <c:pt idx="4">
                  <c:v>25.722984458667035</c:v>
                </c:pt>
                <c:pt idx="5">
                  <c:v>21.474420942965146</c:v>
                </c:pt>
                <c:pt idx="6">
                  <c:v>17.621657298094036</c:v>
                </c:pt>
                <c:pt idx="7">
                  <c:v>14.21713321380615</c:v>
                </c:pt>
                <c:pt idx="8">
                  <c:v>11.599577920648453</c:v>
                </c:pt>
                <c:pt idx="9">
                  <c:v>9.694002485513689</c:v>
                </c:pt>
                <c:pt idx="10">
                  <c:v>9.1480270638406296</c:v>
                </c:pt>
                <c:pt idx="11">
                  <c:v>12.682469146320223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8-4FA5-9052-28D38EF77C04}"/>
            </c:ext>
          </c:extLst>
        </c:ser>
        <c:ser>
          <c:idx val="2"/>
          <c:order val="1"/>
          <c:tx>
            <c:strRef>
              <c:f>Data!$S$15</c:f>
              <c:strCache>
                <c:ptCount val="1"/>
                <c:pt idx="0">
                  <c:v>Ulloma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Data!$M$16:$M$27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Data!$S$16:$S$27</c:f>
              <c:numCache>
                <c:formatCode>0</c:formatCode>
                <c:ptCount val="12"/>
                <c:pt idx="0">
                  <c:v>61.583168829318886</c:v>
                </c:pt>
                <c:pt idx="1">
                  <c:v>101.32781199442744</c:v>
                </c:pt>
                <c:pt idx="2">
                  <c:v>80.567166660237319</c:v>
                </c:pt>
                <c:pt idx="3">
                  <c:v>59.733936195892099</c:v>
                </c:pt>
                <c:pt idx="4">
                  <c:v>42.963784458667035</c:v>
                </c:pt>
                <c:pt idx="5">
                  <c:v>35.919920942965149</c:v>
                </c:pt>
                <c:pt idx="6">
                  <c:v>29.457257298094035</c:v>
                </c:pt>
                <c:pt idx="7">
                  <c:v>23.603738065488358</c:v>
                </c:pt>
                <c:pt idx="8">
                  <c:v>20.211539033994512</c:v>
                </c:pt>
                <c:pt idx="9">
                  <c:v>17.330526520485389</c:v>
                </c:pt>
                <c:pt idx="10">
                  <c:v>17.375057063840629</c:v>
                </c:pt>
                <c:pt idx="11">
                  <c:v>23.519069146320223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8-4FA5-9052-28D38EF77C04}"/>
            </c:ext>
          </c:extLst>
        </c:ser>
        <c:ser>
          <c:idx val="3"/>
          <c:order val="2"/>
          <c:tx>
            <c:strRef>
              <c:f>Data!$T$15</c:f>
              <c:strCache>
                <c:ptCount val="1"/>
                <c:pt idx="0">
                  <c:v>Out Desaguadero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Data!$M$16:$M$27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Data!$T$16:$T$27</c:f>
              <c:numCache>
                <c:formatCode>0</c:formatCode>
                <c:ptCount val="12"/>
                <c:pt idx="0">
                  <c:v>69.766268829318875</c:v>
                </c:pt>
                <c:pt idx="1">
                  <c:v>115.32381199442744</c:v>
                </c:pt>
                <c:pt idx="2">
                  <c:v>86.502166660237322</c:v>
                </c:pt>
                <c:pt idx="3">
                  <c:v>60.902336195892097</c:v>
                </c:pt>
                <c:pt idx="4">
                  <c:v>42.047884458667035</c:v>
                </c:pt>
                <c:pt idx="5">
                  <c:v>33.133920942965148</c:v>
                </c:pt>
                <c:pt idx="6">
                  <c:v>26.523557298094037</c:v>
                </c:pt>
                <c:pt idx="7">
                  <c:v>9.6591622793012935</c:v>
                </c:pt>
                <c:pt idx="8">
                  <c:v>8.5318060545266245</c:v>
                </c:pt>
                <c:pt idx="9">
                  <c:v>7.5081222608295537</c:v>
                </c:pt>
                <c:pt idx="10">
                  <c:v>7.6555700891513698</c:v>
                </c:pt>
                <c:pt idx="11">
                  <c:v>21.588969146320224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88-4FA5-9052-28D38EF77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914607"/>
        <c:axId val="2095981904"/>
      </c:lineChart>
      <c:catAx>
        <c:axId val="70291460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5981904"/>
        <c:crosses val="autoZero"/>
        <c:auto val="1"/>
        <c:lblAlgn val="ctr"/>
        <c:lblOffset val="100"/>
        <c:noMultiLvlLbl val="0"/>
      </c:catAx>
      <c:valAx>
        <c:axId val="2095981904"/>
        <c:scaling>
          <c:logBase val="10"/>
          <c:orientation val="minMax"/>
          <c:max val="500"/>
          <c:min val="3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Flow [m3/s]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914607"/>
        <c:crosses val="autoZero"/>
        <c:crossBetween val="between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00975253111647"/>
          <c:y val="6.9477980155258662E-2"/>
          <c:w val="0.75546643711035688"/>
          <c:h val="0.66530739714567533"/>
        </c:manualLayout>
      </c:layout>
      <c:lineChart>
        <c:grouping val="standard"/>
        <c:varyColors val="0"/>
        <c:ser>
          <c:idx val="1"/>
          <c:order val="0"/>
          <c:tx>
            <c:strRef>
              <c:f>Data!$R$15</c:f>
              <c:strCache>
                <c:ptCount val="1"/>
                <c:pt idx="0">
                  <c:v>Mauri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Data!$M$16:$M$27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Data!$R$16:$R$27</c:f>
              <c:numCache>
                <c:formatCode>0</c:formatCode>
                <c:ptCount val="12"/>
                <c:pt idx="0">
                  <c:v>26.479199999999999</c:v>
                </c:pt>
                <c:pt idx="1">
                  <c:v>44.877800000000001</c:v>
                </c:pt>
                <c:pt idx="2">
                  <c:v>34.886800000000001</c:v>
                </c:pt>
                <c:pt idx="3">
                  <c:v>25.050899999999999</c:v>
                </c:pt>
                <c:pt idx="4">
                  <c:v>17.2408</c:v>
                </c:pt>
                <c:pt idx="5">
                  <c:v>14.445500000000001</c:v>
                </c:pt>
                <c:pt idx="6">
                  <c:v>11.835600000000001</c:v>
                </c:pt>
                <c:pt idx="7">
                  <c:v>9.3866048516822094</c:v>
                </c:pt>
                <c:pt idx="8">
                  <c:v>8.611961113346057</c:v>
                </c:pt>
                <c:pt idx="9">
                  <c:v>7.6365240349717007</c:v>
                </c:pt>
                <c:pt idx="10">
                  <c:v>8.227030000000001</c:v>
                </c:pt>
                <c:pt idx="11">
                  <c:v>10.836600000000001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65-4C23-BCF4-C2A1BE125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914607"/>
        <c:axId val="2095981904"/>
      </c:lineChart>
      <c:catAx>
        <c:axId val="70291460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5981904"/>
        <c:crosses val="autoZero"/>
        <c:auto val="1"/>
        <c:lblAlgn val="ctr"/>
        <c:lblOffset val="100"/>
        <c:noMultiLvlLbl val="0"/>
      </c:catAx>
      <c:valAx>
        <c:axId val="2095981904"/>
        <c:scaling>
          <c:logBase val="10"/>
          <c:orientation val="minMax"/>
          <c:max val="100"/>
          <c:min val="3"/>
        </c:scaling>
        <c:delete val="0"/>
        <c:axPos val="l"/>
        <c:majorGridlines>
          <c:spPr>
            <a:ln w="317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Flow [m3/s]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914607"/>
        <c:crosses val="autoZero"/>
        <c:crossBetween val="between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9.3679628580394067E-2"/>
                  <c:y val="0.23360180944676079"/>
                </c:manualLayout>
              </c:layout>
              <c:numFmt formatCode="0.0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Data!$M$33:$M$58</c:f>
              <c:numCache>
                <c:formatCode>General</c:formatCode>
                <c:ptCount val="26"/>
                <c:pt idx="0">
                  <c:v>923000</c:v>
                </c:pt>
                <c:pt idx="1">
                  <c:v>924000</c:v>
                </c:pt>
                <c:pt idx="2">
                  <c:v>925000</c:v>
                </c:pt>
                <c:pt idx="3">
                  <c:v>926000</c:v>
                </c:pt>
                <c:pt idx="4">
                  <c:v>927000</c:v>
                </c:pt>
                <c:pt idx="5">
                  <c:v>928000</c:v>
                </c:pt>
                <c:pt idx="6">
                  <c:v>929000</c:v>
                </c:pt>
                <c:pt idx="7">
                  <c:v>930000</c:v>
                </c:pt>
                <c:pt idx="8">
                  <c:v>931000</c:v>
                </c:pt>
                <c:pt idx="9">
                  <c:v>932000</c:v>
                </c:pt>
                <c:pt idx="10">
                  <c:v>933000</c:v>
                </c:pt>
                <c:pt idx="11">
                  <c:v>934000</c:v>
                </c:pt>
                <c:pt idx="12">
                  <c:v>935000</c:v>
                </c:pt>
                <c:pt idx="13">
                  <c:v>936000</c:v>
                </c:pt>
                <c:pt idx="14">
                  <c:v>937000</c:v>
                </c:pt>
                <c:pt idx="15">
                  <c:v>938000</c:v>
                </c:pt>
                <c:pt idx="16">
                  <c:v>939000</c:v>
                </c:pt>
                <c:pt idx="17">
                  <c:v>940000</c:v>
                </c:pt>
                <c:pt idx="18">
                  <c:v>941000</c:v>
                </c:pt>
                <c:pt idx="19">
                  <c:v>942000</c:v>
                </c:pt>
                <c:pt idx="20">
                  <c:v>943000</c:v>
                </c:pt>
                <c:pt idx="21">
                  <c:v>944000</c:v>
                </c:pt>
                <c:pt idx="22">
                  <c:v>945000</c:v>
                </c:pt>
                <c:pt idx="23">
                  <c:v>947000</c:v>
                </c:pt>
                <c:pt idx="24">
                  <c:v>950000</c:v>
                </c:pt>
                <c:pt idx="25">
                  <c:v>952000</c:v>
                </c:pt>
              </c:numCache>
            </c:numRef>
          </c:xVal>
          <c:yVal>
            <c:numRef>
              <c:f>Data!$N$33:$N$58</c:f>
              <c:numCache>
                <c:formatCode>General</c:formatCode>
                <c:ptCount val="26"/>
                <c:pt idx="0">
                  <c:v>0</c:v>
                </c:pt>
                <c:pt idx="1">
                  <c:v>0.01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8</c:v>
                </c:pt>
                <c:pt idx="6">
                  <c:v>12</c:v>
                </c:pt>
                <c:pt idx="7">
                  <c:v>15</c:v>
                </c:pt>
                <c:pt idx="8">
                  <c:v>20</c:v>
                </c:pt>
                <c:pt idx="9">
                  <c:v>30</c:v>
                </c:pt>
                <c:pt idx="10">
                  <c:v>40</c:v>
                </c:pt>
                <c:pt idx="11">
                  <c:v>45</c:v>
                </c:pt>
                <c:pt idx="12">
                  <c:v>50</c:v>
                </c:pt>
                <c:pt idx="13">
                  <c:v>60</c:v>
                </c:pt>
                <c:pt idx="14">
                  <c:v>70</c:v>
                </c:pt>
                <c:pt idx="15">
                  <c:v>85</c:v>
                </c:pt>
                <c:pt idx="16">
                  <c:v>95</c:v>
                </c:pt>
                <c:pt idx="17">
                  <c:v>105</c:v>
                </c:pt>
                <c:pt idx="18">
                  <c:v>125</c:v>
                </c:pt>
                <c:pt idx="19">
                  <c:v>140</c:v>
                </c:pt>
                <c:pt idx="20">
                  <c:v>160</c:v>
                </c:pt>
                <c:pt idx="21">
                  <c:v>185</c:v>
                </c:pt>
                <c:pt idx="22">
                  <c:v>210</c:v>
                </c:pt>
                <c:pt idx="23">
                  <c:v>260</c:v>
                </c:pt>
                <c:pt idx="24">
                  <c:v>350</c:v>
                </c:pt>
                <c:pt idx="25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ED-47AD-BFF4-F2D83F2D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464208"/>
        <c:axId val="2096766176"/>
      </c:scatterChart>
      <c:valAx>
        <c:axId val="2102464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6766176"/>
        <c:crosses val="autoZero"/>
        <c:crossBetween val="midCat"/>
      </c:valAx>
      <c:valAx>
        <c:axId val="20967661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464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image" Target="../media/image4.png"/><Relationship Id="rId4" Type="http://schemas.openxmlformats.org/officeDocument/2006/relationships/chart" Target="../charts/chart2.xml"/><Relationship Id="rId9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209737</xdr:colOff>
      <xdr:row>0</xdr:row>
      <xdr:rowOff>152352</xdr:rowOff>
    </xdr:from>
    <xdr:to>
      <xdr:col>37</xdr:col>
      <xdr:colOff>48754</xdr:colOff>
      <xdr:row>55</xdr:row>
      <xdr:rowOff>64429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3F0FB566-D1FC-A6EB-6CC1-BA92BDA57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993" b="97005" l="7574" r="91656">
                      <a14:foregroundMark x1="38768" y1="8893" x2="38768" y2="8893"/>
                      <a14:foregroundMark x1="25802" y1="4174" x2="25802" y2="4174"/>
                      <a14:foregroundMark x1="7574" y1="51270" x2="7574" y2="51270"/>
                      <a14:foregroundMark x1="91271" y1="82849" x2="91271" y2="82849"/>
                      <a14:foregroundMark x1="86008" y1="93739" x2="86008" y2="93739"/>
                      <a14:foregroundMark x1="84211" y1="97096" x2="84211" y2="97096"/>
                      <a14:foregroundMark x1="91656" y1="91561" x2="91656" y2="91561"/>
                      <a14:foregroundMark x1="62131" y1="85935" x2="56611" y2="82305"/>
                      <a14:foregroundMark x1="56611" y1="82305" x2="56611" y2="86842"/>
                      <a14:foregroundMark x1="56611" y1="86842" x2="62003" y2="8666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162737" y="152352"/>
          <a:ext cx="7328048" cy="10506258"/>
        </a:xfrm>
        <a:prstGeom prst="rect">
          <a:avLst/>
        </a:prstGeom>
      </xdr:spPr>
    </xdr:pic>
    <xdr:clientData/>
  </xdr:twoCellAnchor>
  <xdr:twoCellAnchor>
    <xdr:from>
      <xdr:col>7</xdr:col>
      <xdr:colOff>180975</xdr:colOff>
      <xdr:row>14</xdr:row>
      <xdr:rowOff>116914</xdr:rowOff>
    </xdr:from>
    <xdr:to>
      <xdr:col>17</xdr:col>
      <xdr:colOff>180975</xdr:colOff>
      <xdr:row>25</xdr:row>
      <xdr:rowOff>155388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8DB0DA1-EC11-4075-84CD-EF1E9EC1D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55468</xdr:colOff>
      <xdr:row>39</xdr:row>
      <xdr:rowOff>65555</xdr:rowOff>
    </xdr:from>
    <xdr:to>
      <xdr:col>45</xdr:col>
      <xdr:colOff>64993</xdr:colOff>
      <xdr:row>50</xdr:row>
      <xdr:rowOff>173879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710342-89F2-4767-80C6-584AE00CA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220756</xdr:colOff>
      <xdr:row>0</xdr:row>
      <xdr:rowOff>44637</xdr:rowOff>
    </xdr:from>
    <xdr:to>
      <xdr:col>40</xdr:col>
      <xdr:colOff>220756</xdr:colOff>
      <xdr:row>11</xdr:row>
      <xdr:rowOff>86286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82ADC7-E809-4EBC-AABA-2F7FF6320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276783</xdr:colOff>
      <xdr:row>12</xdr:row>
      <xdr:rowOff>12326</xdr:rowOff>
    </xdr:from>
    <xdr:to>
      <xdr:col>39</xdr:col>
      <xdr:colOff>235508</xdr:colOff>
      <xdr:row>23</xdr:row>
      <xdr:rowOff>125505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362FE85-469C-4444-8A69-0866540CA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105710</xdr:colOff>
      <xdr:row>29</xdr:row>
      <xdr:rowOff>32943</xdr:rowOff>
    </xdr:from>
    <xdr:to>
      <xdr:col>26</xdr:col>
      <xdr:colOff>267261</xdr:colOff>
      <xdr:row>29</xdr:row>
      <xdr:rowOff>204670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455D1C3E-C714-19B6-A272-B38C20BF0F34}"/>
            </a:ext>
          </a:extLst>
        </xdr:cNvPr>
        <xdr:cNvSpPr/>
      </xdr:nvSpPr>
      <xdr:spPr>
        <a:xfrm>
          <a:off x="9184226" y="5474099"/>
          <a:ext cx="161551" cy="171727"/>
        </a:xfrm>
        <a:prstGeom prst="ellipse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237005</xdr:colOff>
      <xdr:row>31</xdr:row>
      <xdr:rowOff>15873</xdr:rowOff>
    </xdr:from>
    <xdr:to>
      <xdr:col>27</xdr:col>
      <xdr:colOff>78441</xdr:colOff>
      <xdr:row>31</xdr:row>
      <xdr:rowOff>169393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CD70DC27-2C94-5E48-D267-4422D813D1FB}"/>
            </a:ext>
          </a:extLst>
        </xdr:cNvPr>
        <xdr:cNvSpPr/>
      </xdr:nvSpPr>
      <xdr:spPr>
        <a:xfrm>
          <a:off x="9268946" y="5876549"/>
          <a:ext cx="155201" cy="15352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302560</xdr:colOff>
      <xdr:row>38</xdr:row>
      <xdr:rowOff>76758</xdr:rowOff>
    </xdr:from>
    <xdr:to>
      <xdr:col>32</xdr:col>
      <xdr:colOff>140821</xdr:colOff>
      <xdr:row>39</xdr:row>
      <xdr:rowOff>38284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1FFDC439-43F3-36B6-21FF-3FB12C8E7F3D}"/>
            </a:ext>
          </a:extLst>
        </xdr:cNvPr>
        <xdr:cNvSpPr/>
      </xdr:nvSpPr>
      <xdr:spPr>
        <a:xfrm>
          <a:off x="10959354" y="7214905"/>
          <a:ext cx="152026" cy="14082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56030</xdr:colOff>
      <xdr:row>24</xdr:row>
      <xdr:rowOff>164912</xdr:rowOff>
    </xdr:from>
    <xdr:to>
      <xdr:col>25</xdr:col>
      <xdr:colOff>208056</xdr:colOff>
      <xdr:row>25</xdr:row>
      <xdr:rowOff>129613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C54B6DC8-9987-BB20-06D7-6BF65453246B}"/>
            </a:ext>
          </a:extLst>
        </xdr:cNvPr>
        <xdr:cNvSpPr/>
      </xdr:nvSpPr>
      <xdr:spPr>
        <a:xfrm>
          <a:off x="6958854" y="4467971"/>
          <a:ext cx="152026" cy="143995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27</xdr:col>
      <xdr:colOff>41650</xdr:colOff>
      <xdr:row>20</xdr:row>
      <xdr:rowOff>35298</xdr:rowOff>
    </xdr:from>
    <xdr:to>
      <xdr:col>27</xdr:col>
      <xdr:colOff>193676</xdr:colOff>
      <xdr:row>20</xdr:row>
      <xdr:rowOff>179293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3F5F17A6-0A3F-9F68-86E2-00D3BA4F1A0C}"/>
            </a:ext>
          </a:extLst>
        </xdr:cNvPr>
        <xdr:cNvSpPr/>
      </xdr:nvSpPr>
      <xdr:spPr>
        <a:xfrm>
          <a:off x="7572003" y="3643592"/>
          <a:ext cx="152026" cy="143995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25</xdr:col>
      <xdr:colOff>134472</xdr:colOff>
      <xdr:row>16</xdr:row>
      <xdr:rowOff>113739</xdr:rowOff>
    </xdr:from>
    <xdr:to>
      <xdr:col>25</xdr:col>
      <xdr:colOff>286498</xdr:colOff>
      <xdr:row>17</xdr:row>
      <xdr:rowOff>81615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75602AFA-E482-BEF6-D868-AF3D53A5774A}"/>
            </a:ext>
          </a:extLst>
        </xdr:cNvPr>
        <xdr:cNvSpPr/>
      </xdr:nvSpPr>
      <xdr:spPr>
        <a:xfrm>
          <a:off x="7037296" y="3004857"/>
          <a:ext cx="152026" cy="147170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257738</xdr:colOff>
      <xdr:row>12</xdr:row>
      <xdr:rowOff>80123</xdr:rowOff>
    </xdr:from>
    <xdr:to>
      <xdr:col>23</xdr:col>
      <xdr:colOff>95999</xdr:colOff>
      <xdr:row>13</xdr:row>
      <xdr:rowOff>51173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12274BBD-E4C3-B096-42C6-0B05DE6B2B98}"/>
            </a:ext>
          </a:extLst>
        </xdr:cNvPr>
        <xdr:cNvSpPr/>
      </xdr:nvSpPr>
      <xdr:spPr>
        <a:xfrm>
          <a:off x="6219267" y="2231652"/>
          <a:ext cx="152026" cy="150345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265768</xdr:colOff>
      <xdr:row>14</xdr:row>
      <xdr:rowOff>139327</xdr:rowOff>
    </xdr:from>
    <xdr:to>
      <xdr:col>22</xdr:col>
      <xdr:colOff>107205</xdr:colOff>
      <xdr:row>15</xdr:row>
      <xdr:rowOff>81616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6B906609-33DF-B8D0-90DE-C2B3949DC842}"/>
            </a:ext>
          </a:extLst>
        </xdr:cNvPr>
        <xdr:cNvSpPr/>
      </xdr:nvSpPr>
      <xdr:spPr>
        <a:xfrm>
          <a:off x="5913533" y="2649445"/>
          <a:ext cx="155201" cy="143995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131298</xdr:colOff>
      <xdr:row>19</xdr:row>
      <xdr:rowOff>19237</xdr:rowOff>
    </xdr:from>
    <xdr:to>
      <xdr:col>23</xdr:col>
      <xdr:colOff>283324</xdr:colOff>
      <xdr:row>19</xdr:row>
      <xdr:rowOff>163232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6EAAC4EE-8327-1782-A557-B2D73649C48F}"/>
            </a:ext>
          </a:extLst>
        </xdr:cNvPr>
        <xdr:cNvSpPr/>
      </xdr:nvSpPr>
      <xdr:spPr>
        <a:xfrm>
          <a:off x="6406592" y="3448237"/>
          <a:ext cx="152026" cy="143995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73270</xdr:colOff>
      <xdr:row>6</xdr:row>
      <xdr:rowOff>145676</xdr:rowOff>
    </xdr:from>
    <xdr:to>
      <xdr:col>29</xdr:col>
      <xdr:colOff>33618</xdr:colOff>
      <xdr:row>12</xdr:row>
      <xdr:rowOff>104386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77494029-E0B0-3327-F27D-1C77B5EC8442}"/>
            </a:ext>
          </a:extLst>
        </xdr:cNvPr>
        <xdr:cNvCxnSpPr>
          <a:endCxn id="15" idx="7"/>
        </xdr:cNvCxnSpPr>
      </xdr:nvCxnSpPr>
      <xdr:spPr>
        <a:xfrm flipH="1">
          <a:off x="6348564" y="1221441"/>
          <a:ext cx="1842936" cy="1034474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276972</xdr:colOff>
      <xdr:row>23</xdr:row>
      <xdr:rowOff>142502</xdr:rowOff>
    </xdr:from>
    <xdr:to>
      <xdr:col>25</xdr:col>
      <xdr:colOff>78294</xdr:colOff>
      <xdr:row>25</xdr:row>
      <xdr:rowOff>3531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2CC9D99-2D93-8F28-9BD9-C1A3D31F9943}"/>
            </a:ext>
          </a:extLst>
        </xdr:cNvPr>
        <xdr:cNvCxnSpPr>
          <a:endCxn id="11" idx="1"/>
        </xdr:cNvCxnSpPr>
      </xdr:nvCxnSpPr>
      <xdr:spPr>
        <a:xfrm>
          <a:off x="5297207" y="4288678"/>
          <a:ext cx="1683911" cy="219618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264234</xdr:colOff>
      <xdr:row>6</xdr:row>
      <xdr:rowOff>160057</xdr:rowOff>
    </xdr:from>
    <xdr:to>
      <xdr:col>29</xdr:col>
      <xdr:colOff>30443</xdr:colOff>
      <xdr:row>16</xdr:row>
      <xdr:rowOff>135757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38325B76-E298-128A-69E8-B40ADD702D84}"/>
            </a:ext>
          </a:extLst>
        </xdr:cNvPr>
        <xdr:cNvCxnSpPr>
          <a:endCxn id="14" idx="7"/>
        </xdr:cNvCxnSpPr>
      </xdr:nvCxnSpPr>
      <xdr:spPr>
        <a:xfrm flipH="1">
          <a:off x="7167058" y="1235822"/>
          <a:ext cx="1021267" cy="1791053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243137</xdr:colOff>
      <xdr:row>25</xdr:row>
      <xdr:rowOff>163909</xdr:rowOff>
    </xdr:from>
    <xdr:to>
      <xdr:col>31</xdr:col>
      <xdr:colOff>86519</xdr:colOff>
      <xdr:row>29</xdr:row>
      <xdr:rowOff>54917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B05709AA-0014-5C72-D0B1-C94A8D617682}"/>
            </a:ext>
          </a:extLst>
        </xdr:cNvPr>
        <xdr:cNvCxnSpPr>
          <a:endCxn id="8" idx="7"/>
        </xdr:cNvCxnSpPr>
      </xdr:nvCxnSpPr>
      <xdr:spPr>
        <a:xfrm flipH="1">
          <a:off x="9301412" y="4821634"/>
          <a:ext cx="1472157" cy="729208"/>
        </a:xfrm>
        <a:prstGeom prst="straightConnector1">
          <a:avLst/>
        </a:prstGeom>
        <a:ln>
          <a:solidFill>
            <a:srgbClr val="0000FF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56095</xdr:colOff>
      <xdr:row>27</xdr:row>
      <xdr:rowOff>160734</xdr:rowOff>
    </xdr:from>
    <xdr:to>
      <xdr:col>32</xdr:col>
      <xdr:colOff>65087</xdr:colOff>
      <xdr:row>31</xdr:row>
      <xdr:rowOff>35645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9E460D0-CDA5-4847-B0B2-9F762C354939}"/>
            </a:ext>
          </a:extLst>
        </xdr:cNvPr>
        <xdr:cNvCxnSpPr>
          <a:endCxn id="9" idx="7"/>
        </xdr:cNvCxnSpPr>
      </xdr:nvCxnSpPr>
      <xdr:spPr>
        <a:xfrm flipH="1">
          <a:off x="9428695" y="5237559"/>
          <a:ext cx="1637767" cy="71311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66396</xdr:colOff>
      <xdr:row>29</xdr:row>
      <xdr:rowOff>219262</xdr:rowOff>
    </xdr:from>
    <xdr:to>
      <xdr:col>34</xdr:col>
      <xdr:colOff>145677</xdr:colOff>
      <xdr:row>38</xdr:row>
      <xdr:rowOff>76758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34F031C3-4131-9DEF-6E4E-1E869F9FB102}"/>
            </a:ext>
          </a:extLst>
        </xdr:cNvPr>
        <xdr:cNvCxnSpPr>
          <a:endCxn id="10" idx="0"/>
        </xdr:cNvCxnSpPr>
      </xdr:nvCxnSpPr>
      <xdr:spPr>
        <a:xfrm flipH="1">
          <a:off x="11036955" y="5665321"/>
          <a:ext cx="706810" cy="154958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29350</xdr:colOff>
      <xdr:row>30</xdr:row>
      <xdr:rowOff>83635</xdr:rowOff>
    </xdr:from>
    <xdr:to>
      <xdr:col>22</xdr:col>
      <xdr:colOff>46464</xdr:colOff>
      <xdr:row>31</xdr:row>
      <xdr:rowOff>111512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F5570E04-B457-2628-6090-7661F0257E40}"/>
            </a:ext>
          </a:extLst>
        </xdr:cNvPr>
        <xdr:cNvCxnSpPr/>
      </xdr:nvCxnSpPr>
      <xdr:spPr>
        <a:xfrm flipH="1">
          <a:off x="7858435" y="5817220"/>
          <a:ext cx="17114" cy="209085"/>
        </a:xfrm>
        <a:prstGeom prst="straightConnector1">
          <a:avLst/>
        </a:prstGeom>
        <a:ln w="38100">
          <a:solidFill>
            <a:srgbClr val="0000FF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23232</xdr:colOff>
      <xdr:row>31</xdr:row>
      <xdr:rowOff>103691</xdr:rowOff>
    </xdr:from>
    <xdr:to>
      <xdr:col>22</xdr:col>
      <xdr:colOff>31053</xdr:colOff>
      <xdr:row>32</xdr:row>
      <xdr:rowOff>144037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BA8650EB-BF1E-9DB0-702A-BFF0CC42E55B}"/>
            </a:ext>
          </a:extLst>
        </xdr:cNvPr>
        <xdr:cNvCxnSpPr/>
      </xdr:nvCxnSpPr>
      <xdr:spPr>
        <a:xfrm flipH="1">
          <a:off x="7220415" y="6018484"/>
          <a:ext cx="639723" cy="221553"/>
        </a:xfrm>
        <a:prstGeom prst="straightConnector1">
          <a:avLst/>
        </a:prstGeom>
        <a:ln w="38100">
          <a:solidFill>
            <a:srgbClr val="0000FF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100132</xdr:colOff>
      <xdr:row>23</xdr:row>
      <xdr:rowOff>173565</xdr:rowOff>
    </xdr:from>
    <xdr:to>
      <xdr:col>27</xdr:col>
      <xdr:colOff>252158</xdr:colOff>
      <xdr:row>24</xdr:row>
      <xdr:rowOff>81073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B76CA24B-8AE9-27A6-302C-C1617987DA23}"/>
            </a:ext>
          </a:extLst>
        </xdr:cNvPr>
        <xdr:cNvSpPr/>
      </xdr:nvSpPr>
      <xdr:spPr>
        <a:xfrm>
          <a:off x="9446922" y="4419871"/>
          <a:ext cx="152026" cy="147170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201146</xdr:colOff>
      <xdr:row>36</xdr:row>
      <xdr:rowOff>87219</xdr:rowOff>
    </xdr:from>
    <xdr:to>
      <xdr:col>25</xdr:col>
      <xdr:colOff>152960</xdr:colOff>
      <xdr:row>45</xdr:row>
      <xdr:rowOff>67796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3E8FAFE3-0AA7-4D36-8EBE-A3A892AD0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40387</xdr:colOff>
      <xdr:row>30</xdr:row>
      <xdr:rowOff>66814</xdr:rowOff>
    </xdr:from>
    <xdr:to>
      <xdr:col>26</xdr:col>
      <xdr:colOff>192413</xdr:colOff>
      <xdr:row>31</xdr:row>
      <xdr:rowOff>37865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D5905274-9055-AC73-23D7-89826D71989B}"/>
            </a:ext>
          </a:extLst>
        </xdr:cNvPr>
        <xdr:cNvSpPr/>
      </xdr:nvSpPr>
      <xdr:spPr>
        <a:xfrm>
          <a:off x="9133277" y="5800399"/>
          <a:ext cx="152026" cy="152259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254077</xdr:colOff>
      <xdr:row>31</xdr:row>
      <xdr:rowOff>37865</xdr:rowOff>
    </xdr:from>
    <xdr:to>
      <xdr:col>26</xdr:col>
      <xdr:colOff>116400</xdr:colOff>
      <xdr:row>37</xdr:row>
      <xdr:rowOff>159447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AA56AB37-3CA6-FA88-B306-15EB1FB0E07A}"/>
            </a:ext>
          </a:extLst>
        </xdr:cNvPr>
        <xdr:cNvCxnSpPr>
          <a:endCxn id="62" idx="4"/>
        </xdr:cNvCxnSpPr>
      </xdr:nvCxnSpPr>
      <xdr:spPr>
        <a:xfrm flipV="1">
          <a:off x="8998027" y="5952890"/>
          <a:ext cx="176648" cy="1226482"/>
        </a:xfrm>
        <a:prstGeom prst="straightConnector1">
          <a:avLst/>
        </a:prstGeom>
        <a:ln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27</xdr:row>
      <xdr:rowOff>95250</xdr:rowOff>
    </xdr:from>
    <xdr:to>
      <xdr:col>20</xdr:col>
      <xdr:colOff>101600</xdr:colOff>
      <xdr:row>28</xdr:row>
      <xdr:rowOff>28575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8671926C-ABD4-6F67-F6DC-C789A35D0116}"/>
            </a:ext>
          </a:extLst>
        </xdr:cNvPr>
        <xdr:cNvCxnSpPr/>
      </xdr:nvCxnSpPr>
      <xdr:spPr>
        <a:xfrm flipH="1">
          <a:off x="7172325" y="5172075"/>
          <a:ext cx="101600" cy="171450"/>
        </a:xfrm>
        <a:prstGeom prst="straightConnector1">
          <a:avLst/>
        </a:prstGeom>
        <a:ln w="38100">
          <a:solidFill>
            <a:srgbClr val="0000FF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120838</xdr:colOff>
      <xdr:row>6</xdr:row>
      <xdr:rowOff>152400</xdr:rowOff>
    </xdr:from>
    <xdr:to>
      <xdr:col>29</xdr:col>
      <xdr:colOff>47625</xdr:colOff>
      <xdr:row>20</xdr:row>
      <xdr:rowOff>35298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936AD1FE-2459-581E-A6B2-9173C872460A}"/>
            </a:ext>
          </a:extLst>
        </xdr:cNvPr>
        <xdr:cNvCxnSpPr>
          <a:endCxn id="13" idx="0"/>
        </xdr:cNvCxnSpPr>
      </xdr:nvCxnSpPr>
      <xdr:spPr>
        <a:xfrm flipH="1">
          <a:off x="9493438" y="1238250"/>
          <a:ext cx="555437" cy="2492748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25</xdr:col>
      <xdr:colOff>85725</xdr:colOff>
      <xdr:row>41</xdr:row>
      <xdr:rowOff>38100</xdr:rowOff>
    </xdr:from>
    <xdr:to>
      <xdr:col>29</xdr:col>
      <xdr:colOff>30665</xdr:colOff>
      <xdr:row>45</xdr:row>
      <xdr:rowOff>69663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6D5E3B51-C9D9-2473-7402-2F2B7FB50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29675" y="7839075"/>
          <a:ext cx="1202240" cy="771525"/>
        </a:xfrm>
        <a:prstGeom prst="rect">
          <a:avLst/>
        </a:prstGeom>
      </xdr:spPr>
    </xdr:pic>
    <xdr:clientData/>
  </xdr:twoCellAnchor>
  <xdr:twoCellAnchor>
    <xdr:from>
      <xdr:col>8</xdr:col>
      <xdr:colOff>19050</xdr:colOff>
      <xdr:row>6</xdr:row>
      <xdr:rowOff>133350</xdr:rowOff>
    </xdr:from>
    <xdr:to>
      <xdr:col>21</xdr:col>
      <xdr:colOff>66675</xdr:colOff>
      <xdr:row>13</xdr:row>
      <xdr:rowOff>28575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9B5F7AF1-0C4C-E9F0-E2C0-98FF56AC17AC}"/>
            </a:ext>
          </a:extLst>
        </xdr:cNvPr>
        <xdr:cNvCxnSpPr/>
      </xdr:nvCxnSpPr>
      <xdr:spPr>
        <a:xfrm>
          <a:off x="2219325" y="1219200"/>
          <a:ext cx="4133850" cy="1219200"/>
        </a:xfrm>
        <a:prstGeom prst="straightConnector1">
          <a:avLst/>
        </a:prstGeom>
        <a:ln w="44450">
          <a:solidFill>
            <a:schemeClr val="tx1">
              <a:lumMod val="50000"/>
              <a:lumOff val="50000"/>
            </a:schemeClr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</xdr:colOff>
      <xdr:row>26</xdr:row>
      <xdr:rowOff>85725</xdr:rowOff>
    </xdr:from>
    <xdr:to>
      <xdr:col>37</xdr:col>
      <xdr:colOff>171450</xdr:colOff>
      <xdr:row>32</xdr:row>
      <xdr:rowOff>152400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06FA987A-4CD3-714F-513E-EA9286186ADC}"/>
            </a:ext>
          </a:extLst>
        </xdr:cNvPr>
        <xdr:cNvCxnSpPr/>
      </xdr:nvCxnSpPr>
      <xdr:spPr>
        <a:xfrm flipV="1">
          <a:off x="9191625" y="4981575"/>
          <a:ext cx="2352675" cy="1266825"/>
        </a:xfrm>
        <a:prstGeom prst="straightConnector1">
          <a:avLst/>
        </a:prstGeom>
        <a:ln w="44450">
          <a:solidFill>
            <a:schemeClr val="tx1">
              <a:lumMod val="50000"/>
              <a:lumOff val="50000"/>
            </a:schemeClr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142875</xdr:colOff>
      <xdr:row>38</xdr:row>
      <xdr:rowOff>152400</xdr:rowOff>
    </xdr:from>
    <xdr:to>
      <xdr:col>37</xdr:col>
      <xdr:colOff>234950</xdr:colOff>
      <xdr:row>40</xdr:row>
      <xdr:rowOff>123825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FC4386F2-DCE4-3EAF-F096-19A151139E6C}"/>
            </a:ext>
          </a:extLst>
        </xdr:cNvPr>
        <xdr:cNvCxnSpPr/>
      </xdr:nvCxnSpPr>
      <xdr:spPr>
        <a:xfrm flipV="1">
          <a:off x="10258425" y="7334250"/>
          <a:ext cx="1349375" cy="390525"/>
        </a:xfrm>
        <a:prstGeom prst="straightConnector1">
          <a:avLst/>
        </a:prstGeom>
        <a:ln w="44450">
          <a:solidFill>
            <a:schemeClr val="tx1">
              <a:lumMod val="50000"/>
              <a:lumOff val="50000"/>
            </a:schemeClr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78441</xdr:colOff>
      <xdr:row>33</xdr:row>
      <xdr:rowOff>44823</xdr:rowOff>
    </xdr:from>
    <xdr:to>
      <xdr:col>18</xdr:col>
      <xdr:colOff>246529</xdr:colOff>
      <xdr:row>33</xdr:row>
      <xdr:rowOff>86472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40915A37-F97B-3D01-BA1B-9E69453D71A8}"/>
            </a:ext>
          </a:extLst>
        </xdr:cNvPr>
        <xdr:cNvCxnSpPr/>
      </xdr:nvCxnSpPr>
      <xdr:spPr>
        <a:xfrm flipV="1">
          <a:off x="2274794" y="6264088"/>
          <a:ext cx="3305735" cy="41649"/>
        </a:xfrm>
        <a:prstGeom prst="straightConnector1">
          <a:avLst/>
        </a:prstGeom>
        <a:ln w="44450">
          <a:solidFill>
            <a:schemeClr val="tx1">
              <a:lumMod val="50000"/>
              <a:lumOff val="50000"/>
            </a:schemeClr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49</xdr:col>
      <xdr:colOff>235323</xdr:colOff>
      <xdr:row>23</xdr:row>
      <xdr:rowOff>179294</xdr:rowOff>
    </xdr:from>
    <xdr:to>
      <xdr:col>56</xdr:col>
      <xdr:colOff>67235</xdr:colOff>
      <xdr:row>33</xdr:row>
      <xdr:rowOff>135679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79BC2815-9C56-424E-A3E7-22C58D761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694088" y="4448735"/>
          <a:ext cx="2103531" cy="1973445"/>
        </a:xfrm>
        <a:prstGeom prst="rect">
          <a:avLst/>
        </a:prstGeom>
      </xdr:spPr>
    </xdr:pic>
    <xdr:clientData/>
  </xdr:twoCellAnchor>
  <xdr:twoCellAnchor editAs="oneCell">
    <xdr:from>
      <xdr:col>49</xdr:col>
      <xdr:colOff>230468</xdr:colOff>
      <xdr:row>34</xdr:row>
      <xdr:rowOff>16064</xdr:rowOff>
    </xdr:from>
    <xdr:to>
      <xdr:col>56</xdr:col>
      <xdr:colOff>64060</xdr:colOff>
      <xdr:row>43</xdr:row>
      <xdr:rowOff>123228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83F7A6E1-5A58-F1A5-9612-55C2C2281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689233" y="6481858"/>
          <a:ext cx="2111561" cy="18920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177345</xdr:colOff>
      <xdr:row>37</xdr:row>
      <xdr:rowOff>41274</xdr:rowOff>
    </xdr:from>
    <xdr:to>
      <xdr:col>18</xdr:col>
      <xdr:colOff>405041</xdr:colOff>
      <xdr:row>55</xdr:row>
      <xdr:rowOff>13607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2F0D11-A166-E299-DA15-6600CE5A4E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D02C-8FC3-4925-9953-3D7E49BB36E5}">
  <dimension ref="A1:BW52"/>
  <sheetViews>
    <sheetView tabSelected="1" zoomScale="80" zoomScaleNormal="80" workbookViewId="0">
      <selection activeCell="AW18" sqref="AW18"/>
    </sheetView>
  </sheetViews>
  <sheetFormatPr defaultRowHeight="14.45"/>
  <cols>
    <col min="1" max="2" width="8.7109375" style="8" customWidth="1"/>
    <col min="3" max="3" width="6.140625" style="8" customWidth="1"/>
    <col min="4" max="4" width="6.5703125" style="8" customWidth="1"/>
    <col min="5" max="5" width="3.140625" style="8" customWidth="1"/>
    <col min="6" max="6" width="5.140625" style="8" customWidth="1"/>
    <col min="7" max="7" width="6.140625" style="15" customWidth="1"/>
    <col min="8" max="29" width="4.42578125" style="8" customWidth="1"/>
    <col min="30" max="30" width="5.28515625" style="8" customWidth="1"/>
    <col min="31" max="39" width="4.42578125" style="8" customWidth="1"/>
    <col min="40" max="40" width="7.5703125" style="8" customWidth="1"/>
    <col min="41" max="41" width="6.28515625" style="8" customWidth="1"/>
    <col min="42" max="43" width="4.42578125" style="8" customWidth="1"/>
    <col min="44" max="44" width="6.42578125" style="8" customWidth="1"/>
    <col min="45" max="45" width="4.42578125" style="8" customWidth="1"/>
    <col min="46" max="65" width="4.5703125" style="8" customWidth="1"/>
    <col min="66" max="75" width="8.7109375" style="8"/>
  </cols>
  <sheetData>
    <row r="1" spans="4:44">
      <c r="AI1" s="10" t="s">
        <v>0</v>
      </c>
    </row>
    <row r="2" spans="4:44" ht="15.6">
      <c r="H2" s="10" t="s">
        <v>1</v>
      </c>
      <c r="AR2" s="31" t="s">
        <v>2</v>
      </c>
    </row>
    <row r="3" spans="4:44" ht="23.45" customHeight="1">
      <c r="D3" s="33" t="s">
        <v>3</v>
      </c>
      <c r="E3" s="17"/>
      <c r="F3" s="34" t="s">
        <v>4</v>
      </c>
      <c r="G3" s="34"/>
      <c r="H3" s="34"/>
      <c r="I3" s="17" t="s">
        <v>5</v>
      </c>
      <c r="J3" s="17"/>
      <c r="K3" s="17" t="s">
        <v>6</v>
      </c>
      <c r="L3" s="17"/>
      <c r="M3" s="17" t="s">
        <v>7</v>
      </c>
      <c r="N3" s="17"/>
      <c r="O3" s="18"/>
      <c r="AR3" s="15" t="s">
        <v>8</v>
      </c>
    </row>
    <row r="4" spans="4:44">
      <c r="D4" s="19" t="s">
        <v>9</v>
      </c>
      <c r="E4" s="19"/>
      <c r="G4" s="26">
        <v>0.25603809732137189</v>
      </c>
      <c r="I4" s="35">
        <f>Data!B21</f>
        <v>500000</v>
      </c>
      <c r="J4" s="35"/>
      <c r="K4" s="43">
        <f>Data!F34/Data!C34</f>
        <v>0.75000000000000033</v>
      </c>
      <c r="L4" s="43"/>
      <c r="M4" s="44">
        <f>Data!F34</f>
        <v>10.200000000000005</v>
      </c>
      <c r="N4" s="44"/>
      <c r="O4" s="19" t="s">
        <v>10</v>
      </c>
    </row>
    <row r="5" spans="4:44">
      <c r="F5" s="20"/>
      <c r="G5" s="24"/>
      <c r="H5" s="20"/>
      <c r="I5" s="20" t="s">
        <v>11</v>
      </c>
      <c r="J5" s="20"/>
      <c r="K5" s="20" t="s">
        <v>12</v>
      </c>
      <c r="L5" s="20"/>
      <c r="M5" s="45"/>
      <c r="N5" s="45"/>
      <c r="O5" s="16"/>
    </row>
    <row r="6" spans="4:44">
      <c r="D6" s="19" t="s">
        <v>13</v>
      </c>
      <c r="E6" s="19"/>
      <c r="F6" s="19"/>
      <c r="G6" s="27">
        <v>2.5000000000000001E-2</v>
      </c>
      <c r="H6" s="19"/>
      <c r="I6" s="40">
        <f>Data!B19</f>
        <v>2500000</v>
      </c>
      <c r="J6" s="40"/>
      <c r="K6" s="41">
        <f>Data!E34/Data!C18</f>
        <v>1</v>
      </c>
      <c r="L6" s="41"/>
      <c r="M6" s="46">
        <f>Data!E34</f>
        <v>1.5</v>
      </c>
      <c r="N6" s="46"/>
      <c r="O6" s="19" t="s">
        <v>10</v>
      </c>
    </row>
    <row r="7" spans="4:44" ht="18.600000000000001">
      <c r="G7" s="28" t="s">
        <v>14</v>
      </c>
      <c r="AD7" s="14">
        <f>Data!$N$28</f>
        <v>249.69347499999995</v>
      </c>
      <c r="AE7" s="8" t="s">
        <v>10</v>
      </c>
    </row>
    <row r="13" spans="4:44">
      <c r="AI13" s="10" t="s">
        <v>15</v>
      </c>
    </row>
    <row r="15" spans="4:44" ht="15.6">
      <c r="L15" s="11" t="s">
        <v>16</v>
      </c>
    </row>
    <row r="19" spans="4:58">
      <c r="F19" s="35" t="s">
        <v>17</v>
      </c>
      <c r="G19" s="35"/>
    </row>
    <row r="20" spans="4:58" ht="15.6">
      <c r="D20" s="8" t="s">
        <v>8</v>
      </c>
      <c r="F20" s="36">
        <f>Data!O28</f>
        <v>927906.00526714651</v>
      </c>
      <c r="G20" s="36"/>
    </row>
    <row r="21" spans="4:58" ht="15.6">
      <c r="D21" s="8" t="s">
        <v>18</v>
      </c>
      <c r="F21" s="38">
        <f>Data!O29</f>
        <v>925206.20310255524</v>
      </c>
      <c r="G21" s="38"/>
    </row>
    <row r="24" spans="4:58" ht="18.600000000000001">
      <c r="S24" s="14">
        <f>Data!P28</f>
        <v>11.049313017477592</v>
      </c>
      <c r="T24" s="8" t="s">
        <v>10</v>
      </c>
      <c r="AO24" s="10" t="s">
        <v>19</v>
      </c>
    </row>
    <row r="25" spans="4:58">
      <c r="AK25" s="17" t="s">
        <v>3</v>
      </c>
      <c r="AL25" s="17"/>
      <c r="AM25" s="30" t="s">
        <v>20</v>
      </c>
      <c r="AN25" s="25"/>
      <c r="AO25" s="17"/>
      <c r="AP25" s="17" t="s">
        <v>5</v>
      </c>
      <c r="AQ25" s="17"/>
      <c r="AR25" s="17" t="s">
        <v>21</v>
      </c>
      <c r="AS25" s="17"/>
      <c r="AT25" s="17" t="s">
        <v>22</v>
      </c>
      <c r="AU25" s="17"/>
      <c r="AV25" s="18"/>
    </row>
    <row r="26" spans="4:58" ht="18.600000000000001">
      <c r="AF26" s="14">
        <f>Data!Q28</f>
        <v>24.506471350810926</v>
      </c>
      <c r="AG26" s="8" t="s">
        <v>10</v>
      </c>
      <c r="AK26" s="19" t="s">
        <v>9</v>
      </c>
      <c r="AL26" s="19"/>
      <c r="AM26" s="19"/>
      <c r="AN26" s="27">
        <v>0.64186764588524947</v>
      </c>
      <c r="AO26" s="19"/>
      <c r="AP26" s="40">
        <f>Data!G21</f>
        <v>21000</v>
      </c>
      <c r="AQ26" s="40"/>
      <c r="AR26" s="41">
        <f>Data!J34/Data!H34</f>
        <v>0.8000000000000006</v>
      </c>
      <c r="AS26" s="41"/>
      <c r="AT26" s="21">
        <f>Data!J34</f>
        <v>5.6000000000000041</v>
      </c>
      <c r="AU26" s="21"/>
      <c r="AV26" s="19" t="s">
        <v>10</v>
      </c>
    </row>
    <row r="27" spans="4:58">
      <c r="AM27" s="10"/>
      <c r="AN27" s="28" t="s">
        <v>14</v>
      </c>
      <c r="AO27" s="10"/>
      <c r="AP27" s="10"/>
      <c r="AQ27" s="10"/>
      <c r="AR27" s="10"/>
      <c r="AS27" s="10"/>
      <c r="AT27" s="16"/>
      <c r="AU27" s="16"/>
      <c r="AV27" s="16"/>
    </row>
    <row r="28" spans="4:58" ht="18.600000000000001">
      <c r="AG28" s="14">
        <f>Data!S28</f>
        <v>42.799414684144246</v>
      </c>
      <c r="AH28" s="8" t="s">
        <v>10</v>
      </c>
      <c r="AO28" s="29"/>
      <c r="AQ28" s="35"/>
      <c r="AR28" s="35"/>
      <c r="AS28" s="47"/>
      <c r="AT28" s="47"/>
      <c r="AU28" s="48"/>
      <c r="AV28" s="48"/>
    </row>
    <row r="29" spans="4:58">
      <c r="BF29" s="10" t="s">
        <v>8</v>
      </c>
    </row>
    <row r="30" spans="4:58" ht="18.600000000000001">
      <c r="AI30" s="14">
        <f>Data!T28</f>
        <v>40.761964684144253</v>
      </c>
      <c r="AJ30" s="8" t="s">
        <v>10</v>
      </c>
    </row>
    <row r="33" spans="4:58">
      <c r="H33" s="10" t="s">
        <v>23</v>
      </c>
    </row>
    <row r="34" spans="4:58">
      <c r="G34" s="28" t="s">
        <v>14</v>
      </c>
      <c r="AO34" s="10" t="s">
        <v>24</v>
      </c>
    </row>
    <row r="35" spans="4:58" ht="21.6" customHeight="1">
      <c r="D35" s="33" t="s">
        <v>3</v>
      </c>
      <c r="E35" s="17"/>
      <c r="F35" s="34" t="s">
        <v>4</v>
      </c>
      <c r="G35" s="34"/>
      <c r="H35" s="34"/>
      <c r="I35" s="17" t="s">
        <v>5</v>
      </c>
      <c r="J35" s="17"/>
      <c r="K35" s="17" t="s">
        <v>6</v>
      </c>
      <c r="L35" s="17"/>
      <c r="M35" s="17" t="s">
        <v>7</v>
      </c>
      <c r="N35" s="17"/>
      <c r="O35" s="18"/>
      <c r="AK35" s="17" t="s">
        <v>25</v>
      </c>
      <c r="AL35" s="17"/>
      <c r="AM35" s="22" t="s">
        <v>26</v>
      </c>
      <c r="AN35" s="25"/>
      <c r="AO35" s="17"/>
      <c r="AP35" s="17" t="s">
        <v>5</v>
      </c>
      <c r="AQ35" s="17"/>
      <c r="AR35" s="17" t="s">
        <v>27</v>
      </c>
      <c r="AS35" s="17"/>
      <c r="AT35" s="17" t="s">
        <v>28</v>
      </c>
      <c r="AU35" s="17"/>
      <c r="AV35" s="18"/>
    </row>
    <row r="36" spans="4:58">
      <c r="D36" s="19" t="s">
        <v>9</v>
      </c>
      <c r="E36" s="19"/>
      <c r="F36" s="19"/>
      <c r="G36" s="27">
        <v>0.18346817925987891</v>
      </c>
      <c r="H36" s="19"/>
      <c r="I36" s="40">
        <f>Data!G42</f>
        <v>4300</v>
      </c>
      <c r="J36" s="40"/>
      <c r="K36" s="41">
        <f>Data!J55/Data!H55</f>
        <v>0.90000000000000158</v>
      </c>
      <c r="L36" s="41"/>
      <c r="M36" s="42">
        <f>Data!J55</f>
        <v>1.4400000000000028</v>
      </c>
      <c r="N36" s="42"/>
      <c r="O36" s="19" t="s">
        <v>10</v>
      </c>
      <c r="AK36" s="19" t="s">
        <v>9</v>
      </c>
      <c r="AL36" s="19"/>
      <c r="AN36" s="26">
        <v>1</v>
      </c>
      <c r="AP36" s="35">
        <f>Data!B42</f>
        <v>12000</v>
      </c>
      <c r="AQ36" s="35"/>
      <c r="AR36" s="43">
        <f>Data!F55/Data!C55</f>
        <v>0.31243499999999974</v>
      </c>
      <c r="AS36" s="43"/>
      <c r="AT36" s="44">
        <f>Data!F55</f>
        <v>1.562174999999999</v>
      </c>
      <c r="AU36" s="44"/>
      <c r="AV36" s="19" t="s">
        <v>10</v>
      </c>
    </row>
    <row r="37" spans="4:58">
      <c r="F37" s="10"/>
      <c r="H37" s="10"/>
      <c r="I37" s="10"/>
      <c r="J37" s="10"/>
      <c r="K37" s="10"/>
      <c r="L37" s="10"/>
      <c r="M37" s="16"/>
      <c r="N37" s="16"/>
      <c r="O37" s="16"/>
      <c r="AM37" s="20"/>
      <c r="AN37" s="24"/>
      <c r="AO37" s="20"/>
      <c r="AP37" s="20" t="s">
        <v>11</v>
      </c>
      <c r="AQ37" s="20"/>
      <c r="AR37" s="20" t="s">
        <v>12</v>
      </c>
      <c r="AS37" s="20"/>
      <c r="AT37" s="45"/>
      <c r="AU37" s="45"/>
      <c r="AV37" s="16"/>
    </row>
    <row r="38" spans="4:58">
      <c r="AK38" s="19" t="s">
        <v>13</v>
      </c>
      <c r="AL38" s="19"/>
      <c r="AM38" s="19"/>
      <c r="AN38" s="27">
        <v>0.15</v>
      </c>
      <c r="AO38" s="19"/>
      <c r="AP38" s="40">
        <f>Data!B40</f>
        <v>500000</v>
      </c>
      <c r="AQ38" s="40"/>
      <c r="AR38" s="41">
        <f>Data!E55/Data!C39</f>
        <v>0.99999999999999978</v>
      </c>
      <c r="AS38" s="41"/>
      <c r="AT38" s="46">
        <f>Data!E55</f>
        <v>0.29999999999999993</v>
      </c>
      <c r="AU38" s="46"/>
      <c r="AV38" s="19" t="s">
        <v>10</v>
      </c>
    </row>
    <row r="39" spans="4:58" ht="18.600000000000001">
      <c r="Z39" s="14">
        <f>Data!R28</f>
        <v>18.292943333333334</v>
      </c>
      <c r="AA39" s="8" t="s">
        <v>10</v>
      </c>
      <c r="AN39" s="28" t="s">
        <v>14</v>
      </c>
      <c r="BF39" s="10" t="s">
        <v>29</v>
      </c>
    </row>
    <row r="40" spans="4:58" ht="15.6">
      <c r="AO40" s="11" t="s">
        <v>30</v>
      </c>
    </row>
    <row r="44" spans="4:58">
      <c r="AT44" s="35" t="s">
        <v>17</v>
      </c>
      <c r="AU44" s="35"/>
    </row>
    <row r="45" spans="4:58" ht="15.6">
      <c r="AT45" s="36">
        <f>Data!V28</f>
        <v>1151.3943258611005</v>
      </c>
      <c r="AU45" s="37"/>
      <c r="AV45" s="8" t="s">
        <v>8</v>
      </c>
    </row>
    <row r="46" spans="4:58" ht="15.6">
      <c r="V46" s="10" t="s">
        <v>31</v>
      </c>
      <c r="AT46" s="38">
        <f>Data!V29</f>
        <v>807.68516139464509</v>
      </c>
      <c r="AU46" s="39"/>
      <c r="AV46" s="8" t="s">
        <v>18</v>
      </c>
      <c r="AX46" s="32" t="s">
        <v>32</v>
      </c>
      <c r="AY46" s="32"/>
      <c r="AZ46" s="32"/>
      <c r="BA46" s="32"/>
      <c r="BB46" s="32"/>
      <c r="BC46" s="32"/>
    </row>
    <row r="52" spans="41:41" ht="15.6">
      <c r="AO52" s="11" t="s">
        <v>30</v>
      </c>
    </row>
  </sheetData>
  <mergeCells count="30">
    <mergeCell ref="AT46:AU46"/>
    <mergeCell ref="I36:J36"/>
    <mergeCell ref="K36:L36"/>
    <mergeCell ref="M36:N36"/>
    <mergeCell ref="F20:G20"/>
    <mergeCell ref="AP36:AQ36"/>
    <mergeCell ref="AR36:AS36"/>
    <mergeCell ref="AT36:AU36"/>
    <mergeCell ref="AT37:AU37"/>
    <mergeCell ref="AP38:AQ38"/>
    <mergeCell ref="AR38:AS38"/>
    <mergeCell ref="AT38:AU38"/>
    <mergeCell ref="AQ28:AR28"/>
    <mergeCell ref="AS28:AT28"/>
    <mergeCell ref="AU28:AV28"/>
    <mergeCell ref="AR26:AS26"/>
    <mergeCell ref="F3:H3"/>
    <mergeCell ref="F35:H35"/>
    <mergeCell ref="F19:G19"/>
    <mergeCell ref="AT45:AU45"/>
    <mergeCell ref="AT44:AU44"/>
    <mergeCell ref="F21:G21"/>
    <mergeCell ref="AP26:AQ26"/>
    <mergeCell ref="M4:N4"/>
    <mergeCell ref="I6:J6"/>
    <mergeCell ref="K6:L6"/>
    <mergeCell ref="M6:N6"/>
    <mergeCell ref="M5:N5"/>
    <mergeCell ref="I4:J4"/>
    <mergeCell ref="K4:L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0210D1-82F1-41C9-BC55-54BADA7ECF71}">
          <x14:formula1>
            <xm:f>Data!$K$2:$K$4</xm:f>
          </x14:formula1>
          <xm:sqref>AR3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98E8-D6D6-4005-ACEA-7BD83BAC9645}">
  <dimension ref="A1:AC107"/>
  <sheetViews>
    <sheetView zoomScale="70" zoomScaleNormal="70" workbookViewId="0">
      <selection activeCell="P15" sqref="P15"/>
    </sheetView>
  </sheetViews>
  <sheetFormatPr defaultRowHeight="14.45"/>
  <cols>
    <col min="2" max="2" width="11.140625" bestFit="1" customWidth="1"/>
    <col min="3" max="3" width="8.42578125" bestFit="1" customWidth="1"/>
    <col min="4" max="4" width="12.85546875" customWidth="1"/>
    <col min="5" max="6" width="13.5703125" bestFit="1" customWidth="1"/>
    <col min="7" max="7" width="9.5703125" bestFit="1" customWidth="1"/>
    <col min="8" max="8" width="17.42578125" customWidth="1"/>
    <col min="9" max="9" width="12.85546875" bestFit="1" customWidth="1"/>
    <col min="10" max="11" width="14.28515625" customWidth="1"/>
    <col min="12" max="12" width="10.140625" customWidth="1"/>
    <col min="13" max="13" width="8.28515625" customWidth="1"/>
    <col min="14" max="14" width="11.140625" bestFit="1" customWidth="1"/>
    <col min="15" max="15" width="8.85546875" bestFit="1" customWidth="1"/>
    <col min="16" max="16" width="13.42578125" bestFit="1" customWidth="1"/>
    <col min="17" max="17" width="13.5703125" bestFit="1" customWidth="1"/>
    <col min="18" max="18" width="10.42578125" customWidth="1"/>
    <col min="19" max="19" width="13.5703125" bestFit="1" customWidth="1"/>
    <col min="20" max="20" width="17.42578125" bestFit="1" customWidth="1"/>
    <col min="21" max="21" width="12.85546875" bestFit="1" customWidth="1"/>
    <col min="22" max="22" width="17.42578125" bestFit="1" customWidth="1"/>
    <col min="23" max="23" width="12.85546875" bestFit="1" customWidth="1"/>
    <col min="24" max="40" width="5.42578125" customWidth="1"/>
  </cols>
  <sheetData>
    <row r="1" spans="1:29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31</v>
      </c>
      <c r="G1" t="s">
        <v>38</v>
      </c>
      <c r="H1" t="s">
        <v>39</v>
      </c>
      <c r="I1" t="s">
        <v>40</v>
      </c>
      <c r="K1" t="s">
        <v>41</v>
      </c>
      <c r="P1" t="s">
        <v>42</v>
      </c>
      <c r="Q1" t="s">
        <v>43</v>
      </c>
      <c r="S1" t="s">
        <v>37</v>
      </c>
      <c r="T1" t="s">
        <v>31</v>
      </c>
      <c r="U1" t="s">
        <v>38</v>
      </c>
      <c r="V1" t="s">
        <v>39</v>
      </c>
      <c r="W1" t="s">
        <v>40</v>
      </c>
    </row>
    <row r="2" spans="1:29">
      <c r="A2" t="s">
        <v>44</v>
      </c>
      <c r="B2" s="4">
        <f>IF(Scheme!$AR$3="Average",Data!B66,IF(Scheme!$AR$3="Dry",Data!B81,Data!B96))</f>
        <v>528.35500000000002</v>
      </c>
      <c r="C2" s="5"/>
      <c r="D2" s="4">
        <f>IF(Scheme!$AR$3="Average",Data!D66,IF(Scheme!$AR$3="Dry",Data!D81,Data!D96))</f>
        <v>13.3809</v>
      </c>
      <c r="E2" s="4">
        <f>IF(Scheme!$AR$3="Average",Data!E66,IF(Scheme!$AR$3="Dry",Data!E81,Data!E96))</f>
        <v>41.798900000000003</v>
      </c>
      <c r="F2" s="4">
        <f>IF(Scheme!$AR$3="Average",Data!F66,IF(Scheme!$AR$3="Dry",Data!F81,Data!F96))</f>
        <v>27.7592</v>
      </c>
      <c r="G2" s="4">
        <f>IF(Scheme!$AR$3="Average",Data!G66,IF(Scheme!$AR$3="Dry",Data!G81,Data!G96))</f>
        <v>95.673900000000003</v>
      </c>
      <c r="H2" s="4">
        <f>IF(Scheme!$AR$3="Average",Data!H66,IF(Scheme!$AR$3="Dry",Data!H81,Data!H96))</f>
        <v>103.857</v>
      </c>
      <c r="I2" s="4">
        <f>IF(Scheme!$AR$3="Average",Data!I66,IF(Scheme!$AR$3="Dry",Data!I81,Data!I96))</f>
        <v>116.443</v>
      </c>
      <c r="K2" t="s">
        <v>8</v>
      </c>
      <c r="P2" s="1">
        <v>85.663700000000006</v>
      </c>
      <c r="Q2" s="1">
        <v>-21.708300000000001</v>
      </c>
      <c r="S2" s="3">
        <f>E2-D2</f>
        <v>28.418000000000003</v>
      </c>
      <c r="T2">
        <f>F2</f>
        <v>27.7592</v>
      </c>
      <c r="U2">
        <f>G2-F2-E2</f>
        <v>26.115800000000007</v>
      </c>
      <c r="V2">
        <f>H2-G2</f>
        <v>8.183099999999996</v>
      </c>
      <c r="W2">
        <f>I2-H2</f>
        <v>12.585999999999999</v>
      </c>
    </row>
    <row r="3" spans="1:29">
      <c r="A3" t="s">
        <v>45</v>
      </c>
      <c r="B3" s="4">
        <f>IF(Scheme!$AR$3="Average",Data!B67,IF(Scheme!$AR$3="Dry",Data!B82,Data!B97))</f>
        <v>821.51900000000001</v>
      </c>
      <c r="C3" s="5"/>
      <c r="D3" s="4">
        <f>IF(Scheme!$AR$3="Average",Data!D67,IF(Scheme!$AR$3="Dry",Data!D82,Data!D97))</f>
        <v>19.8917</v>
      </c>
      <c r="E3" s="4">
        <f>IF(Scheme!$AR$3="Average",Data!E67,IF(Scheme!$AR$3="Dry",Data!E82,Data!E97))</f>
        <v>63.030799999999999</v>
      </c>
      <c r="F3" s="4">
        <f>IF(Scheme!$AR$3="Average",Data!F67,IF(Scheme!$AR$3="Dry",Data!F82,Data!F97))</f>
        <v>46.157800000000002</v>
      </c>
      <c r="G3" s="4">
        <f>IF(Scheme!$AR$3="Average",Data!G67,IF(Scheme!$AR$3="Dry",Data!G82,Data!G97))</f>
        <v>142.71199999999999</v>
      </c>
      <c r="H3" s="4">
        <f>IF(Scheme!$AR$3="Average",Data!H67,IF(Scheme!$AR$3="Dry",Data!H82,Data!H97))</f>
        <v>156.708</v>
      </c>
      <c r="I3" s="4">
        <f>IF(Scheme!$AR$3="Average",Data!I67,IF(Scheme!$AR$3="Dry",Data!I82,Data!I97))</f>
        <v>181.304</v>
      </c>
      <c r="K3" t="s">
        <v>46</v>
      </c>
      <c r="P3" s="1">
        <v>56.747100000000003</v>
      </c>
      <c r="Q3" s="1">
        <v>-24.598199999999999</v>
      </c>
      <c r="S3" s="3">
        <f t="shared" ref="S3:S13" si="0">E3-D3</f>
        <v>43.139099999999999</v>
      </c>
      <c r="T3">
        <f t="shared" ref="T3:T13" si="1">F3</f>
        <v>46.157800000000002</v>
      </c>
      <c r="U3">
        <f t="shared" ref="U3:U13" si="2">G3-F3-E3</f>
        <v>33.523399999999981</v>
      </c>
      <c r="V3">
        <f t="shared" ref="V3:V13" si="3">H3-G3</f>
        <v>13.996000000000009</v>
      </c>
      <c r="W3">
        <f t="shared" ref="W3:W13" si="4">I3-H3</f>
        <v>24.596000000000004</v>
      </c>
    </row>
    <row r="4" spans="1:29">
      <c r="A4" t="s">
        <v>47</v>
      </c>
      <c r="B4" s="4">
        <f>IF(Scheme!$AR$3="Average",Data!B68,IF(Scheme!$AR$3="Dry",Data!B83,Data!B98))</f>
        <v>567.37199999999996</v>
      </c>
      <c r="C4" s="5"/>
      <c r="D4" s="4">
        <f>IF(Scheme!$AR$3="Average",Data!D68,IF(Scheme!$AR$3="Dry",Data!D83,Data!D98))</f>
        <v>29.448</v>
      </c>
      <c r="E4" s="4">
        <f>IF(Scheme!$AR$3="Average",Data!E68,IF(Scheme!$AR$3="Dry",Data!E83,Data!E98))</f>
        <v>55.920999999999999</v>
      </c>
      <c r="F4" s="4">
        <f>IF(Scheme!$AR$3="Average",Data!F68,IF(Scheme!$AR$3="Dry",Data!F83,Data!F98))</f>
        <v>36.166800000000002</v>
      </c>
      <c r="G4" s="4">
        <f>IF(Scheme!$AR$3="Average",Data!G68,IF(Scheme!$AR$3="Dry",Data!G83,Data!G98))</f>
        <v>113.505</v>
      </c>
      <c r="H4" s="4">
        <f>IF(Scheme!$AR$3="Average",Data!H68,IF(Scheme!$AR$3="Dry",Data!H83,Data!H98))</f>
        <v>119.44</v>
      </c>
      <c r="I4" s="4">
        <f>IF(Scheme!$AR$3="Average",Data!I68,IF(Scheme!$AR$3="Dry",Data!I83,Data!I98))</f>
        <v>131.845</v>
      </c>
      <c r="K4" t="s">
        <v>48</v>
      </c>
      <c r="P4" s="1">
        <v>-60.431600000000003</v>
      </c>
      <c r="Q4" s="1">
        <v>-34.673000000000002</v>
      </c>
      <c r="S4" s="3">
        <f t="shared" si="0"/>
        <v>26.472999999999999</v>
      </c>
      <c r="T4">
        <f t="shared" si="1"/>
        <v>36.166800000000002</v>
      </c>
      <c r="U4">
        <f t="shared" si="2"/>
        <v>21.417200000000001</v>
      </c>
      <c r="V4">
        <f t="shared" si="3"/>
        <v>5.9350000000000023</v>
      </c>
      <c r="W4">
        <f t="shared" si="4"/>
        <v>12.405000000000001</v>
      </c>
    </row>
    <row r="5" spans="1:29">
      <c r="A5" t="s">
        <v>49</v>
      </c>
      <c r="B5" s="4">
        <f>IF(Scheme!$AR$3="Average",Data!B69,IF(Scheme!$AR$3="Dry",Data!B84,Data!B99))</f>
        <v>327.12200000000001</v>
      </c>
      <c r="C5" s="5"/>
      <c r="D5" s="4">
        <f>IF(Scheme!$AR$3="Average",Data!D69,IF(Scheme!$AR$3="Dry",Data!D84,Data!D99))</f>
        <v>35.880899999999997</v>
      </c>
      <c r="E5" s="4">
        <f>IF(Scheme!$AR$3="Average",Data!E69,IF(Scheme!$AR$3="Dry",Data!E84,Data!E99))</f>
        <v>50.555700000000002</v>
      </c>
      <c r="F5" s="4">
        <f>IF(Scheme!$AR$3="Average",Data!F69,IF(Scheme!$AR$3="Dry",Data!F84,Data!F99))</f>
        <v>26.3309</v>
      </c>
      <c r="G5" s="4">
        <f>IF(Scheme!$AR$3="Average",Data!G69,IF(Scheme!$AR$3="Dry",Data!G84,Data!G99))</f>
        <v>88.379000000000005</v>
      </c>
      <c r="H5" s="4">
        <f>IF(Scheme!$AR$3="Average",Data!H69,IF(Scheme!$AR$3="Dry",Data!H84,Data!H99))</f>
        <v>91.227400000000003</v>
      </c>
      <c r="I5" s="4">
        <f>IF(Scheme!$AR$3="Average",Data!I69,IF(Scheme!$AR$3="Dry",Data!I84,Data!I99))</f>
        <v>96.919899999999998</v>
      </c>
      <c r="P5" s="1">
        <v>-261.495</v>
      </c>
      <c r="Q5" s="1">
        <v>-48.966900000000003</v>
      </c>
      <c r="S5" s="3">
        <f t="shared" si="0"/>
        <v>14.674800000000005</v>
      </c>
      <c r="T5">
        <f t="shared" si="1"/>
        <v>26.3309</v>
      </c>
      <c r="U5">
        <f t="shared" si="2"/>
        <v>11.492400000000004</v>
      </c>
      <c r="V5">
        <f t="shared" si="3"/>
        <v>2.848399999999998</v>
      </c>
      <c r="W5">
        <f t="shared" si="4"/>
        <v>5.6924999999999955</v>
      </c>
    </row>
    <row r="6" spans="1:29">
      <c r="A6" t="s">
        <v>50</v>
      </c>
      <c r="B6" s="4">
        <f>IF(Scheme!$AR$3="Average",Data!B70,IF(Scheme!$AR$3="Dry",Data!B85,Data!B100))</f>
        <v>179.215</v>
      </c>
      <c r="C6" s="5"/>
      <c r="D6" s="4">
        <f>IF(Scheme!$AR$3="Average",Data!D70,IF(Scheme!$AR$3="Dry",Data!D85,Data!D100))</f>
        <v>36.430700000000002</v>
      </c>
      <c r="E6" s="4">
        <f>IF(Scheme!$AR$3="Average",Data!E70,IF(Scheme!$AR$3="Dry",Data!E85,Data!E100))</f>
        <v>44.510399999999997</v>
      </c>
      <c r="F6" s="4">
        <f>IF(Scheme!$AR$3="Average",Data!F70,IF(Scheme!$AR$3="Dry",Data!F85,Data!F100))</f>
        <v>18.520800000000001</v>
      </c>
      <c r="G6" s="4">
        <f>IF(Scheme!$AR$3="Average",Data!G70,IF(Scheme!$AR$3="Dry",Data!G85,Data!G100))</f>
        <v>69.569599999999994</v>
      </c>
      <c r="H6" s="4">
        <f>IF(Scheme!$AR$3="Average",Data!H70,IF(Scheme!$AR$3="Dry",Data!H85,Data!H100))</f>
        <v>71.173699999999997</v>
      </c>
      <c r="I6" s="4">
        <f>IF(Scheme!$AR$3="Average",Data!I70,IF(Scheme!$AR$3="Dry",Data!I85,Data!I100))</f>
        <v>74.143699999999995</v>
      </c>
      <c r="P6" s="1">
        <v>-357.90499999999997</v>
      </c>
      <c r="Q6" s="1">
        <v>-49.747700000000002</v>
      </c>
      <c r="S6" s="3">
        <f t="shared" si="0"/>
        <v>8.0796999999999954</v>
      </c>
      <c r="T6">
        <f t="shared" si="1"/>
        <v>18.520800000000001</v>
      </c>
      <c r="U6">
        <f t="shared" si="2"/>
        <v>6.5383999999999958</v>
      </c>
      <c r="V6">
        <f t="shared" si="3"/>
        <v>1.6041000000000025</v>
      </c>
      <c r="W6">
        <f t="shared" si="4"/>
        <v>2.9699999999999989</v>
      </c>
    </row>
    <row r="7" spans="1:29">
      <c r="A7" t="s">
        <v>51</v>
      </c>
      <c r="B7" s="4">
        <f>IF(Scheme!$AR$3="Average",Data!B71,IF(Scheme!$AR$3="Dry",Data!B86,Data!B101))</f>
        <v>120.482</v>
      </c>
      <c r="C7" s="5"/>
      <c r="D7" s="4">
        <f>IF(Scheme!$AR$3="Average",Data!D71,IF(Scheme!$AR$3="Dry",Data!D86,Data!D101))</f>
        <v>33.486600000000003</v>
      </c>
      <c r="E7" s="4">
        <f>IF(Scheme!$AR$3="Average",Data!E71,IF(Scheme!$AR$3="Dry",Data!E86,Data!E101))</f>
        <v>39.878399999999999</v>
      </c>
      <c r="F7" s="4">
        <f>IF(Scheme!$AR$3="Average",Data!F71,IF(Scheme!$AR$3="Dry",Data!F86,Data!F101))</f>
        <v>15.7255</v>
      </c>
      <c r="G7" s="4">
        <f>IF(Scheme!$AR$3="Average",Data!G71,IF(Scheme!$AR$3="Dry",Data!G86,Data!G101))</f>
        <v>61.0792</v>
      </c>
      <c r="H7" s="4">
        <f>IF(Scheme!$AR$3="Average",Data!H71,IF(Scheme!$AR$3="Dry",Data!H86,Data!H101))</f>
        <v>62.493200000000002</v>
      </c>
      <c r="I7" s="4">
        <f>IF(Scheme!$AR$3="Average",Data!I71,IF(Scheme!$AR$3="Dry",Data!I86,Data!I101))</f>
        <v>65.050399999999996</v>
      </c>
      <c r="P7" s="1">
        <v>-330.70800000000003</v>
      </c>
      <c r="Q7" s="1">
        <v>-44.604399999999998</v>
      </c>
      <c r="S7" s="3">
        <f t="shared" si="0"/>
        <v>6.3917999999999964</v>
      </c>
      <c r="T7">
        <f t="shared" si="1"/>
        <v>15.7255</v>
      </c>
      <c r="U7">
        <f t="shared" si="2"/>
        <v>5.4753000000000043</v>
      </c>
      <c r="V7">
        <f t="shared" si="3"/>
        <v>1.4140000000000015</v>
      </c>
      <c r="W7">
        <f t="shared" si="4"/>
        <v>2.5571999999999946</v>
      </c>
    </row>
    <row r="8" spans="1:29">
      <c r="A8" t="s">
        <v>52</v>
      </c>
      <c r="B8" s="4">
        <f>IF(Scheme!$AR$3="Average",Data!B72,IF(Scheme!$AR$3="Dry",Data!B87,Data!B102))</f>
        <v>89.797899999999998</v>
      </c>
      <c r="C8" s="5"/>
      <c r="D8" s="4">
        <f>IF(Scheme!$AR$3="Average",Data!D72,IF(Scheme!$AR$3="Dry",Data!D87,Data!D102))</f>
        <v>29.7746</v>
      </c>
      <c r="E8" s="4">
        <f>IF(Scheme!$AR$3="Average",Data!E72,IF(Scheme!$AR$3="Dry",Data!E87,Data!E102))</f>
        <v>35.161200000000001</v>
      </c>
      <c r="F8" s="4">
        <f>IF(Scheme!$AR$3="Average",Data!F72,IF(Scheme!$AR$3="Dry",Data!F87,Data!F102))</f>
        <v>13.115600000000001</v>
      </c>
      <c r="G8" s="4">
        <f>IF(Scheme!$AR$3="Average",Data!G72,IF(Scheme!$AR$3="Dry",Data!G87,Data!G102))</f>
        <v>52.941200000000002</v>
      </c>
      <c r="H8" s="4">
        <f>IF(Scheme!$AR$3="Average",Data!H72,IF(Scheme!$AR$3="Dry",Data!H87,Data!H102))</f>
        <v>54.207500000000003</v>
      </c>
      <c r="I8" s="4">
        <f>IF(Scheme!$AR$3="Average",Data!I72,IF(Scheme!$AR$3="Dry",Data!I87,Data!I102))</f>
        <v>56.5246</v>
      </c>
      <c r="O8" s="5">
        <v>925101</v>
      </c>
      <c r="P8" s="1">
        <v>-344.14499999999998</v>
      </c>
      <c r="Q8" s="1">
        <v>-44.647799999999997</v>
      </c>
      <c r="S8" s="3">
        <f t="shared" si="0"/>
        <v>5.3866000000000014</v>
      </c>
      <c r="T8">
        <f t="shared" si="1"/>
        <v>13.115600000000001</v>
      </c>
      <c r="U8">
        <f t="shared" si="2"/>
        <v>4.6644000000000005</v>
      </c>
      <c r="V8">
        <f t="shared" si="3"/>
        <v>1.2663000000000011</v>
      </c>
      <c r="W8">
        <f t="shared" si="4"/>
        <v>2.3170999999999964</v>
      </c>
      <c r="AC8" s="5">
        <v>750</v>
      </c>
    </row>
    <row r="9" spans="1:29">
      <c r="A9" t="s">
        <v>53</v>
      </c>
      <c r="B9" s="4">
        <f>IF(Scheme!$AR$3="Average",Data!B73,IF(Scheme!$AR$3="Dry",Data!B88,Data!B103))</f>
        <v>75.158799999999999</v>
      </c>
      <c r="C9" s="5"/>
      <c r="D9" s="4">
        <f>IF(Scheme!$AR$3="Average",Data!D73,IF(Scheme!$AR$3="Dry",Data!D88,Data!D103))</f>
        <v>25.578700000000001</v>
      </c>
      <c r="E9" s="4">
        <f>IF(Scheme!$AR$3="Average",Data!E73,IF(Scheme!$AR$3="Dry",Data!E88,Data!E103))</f>
        <v>30.445499999999999</v>
      </c>
      <c r="F9" s="4">
        <f>IF(Scheme!$AR$3="Average",Data!F73,IF(Scheme!$AR$3="Dry",Data!F88,Data!F103))</f>
        <v>11.495699999999999</v>
      </c>
      <c r="G9" s="4">
        <f>IF(Scheme!$AR$3="Average",Data!G73,IF(Scheme!$AR$3="Dry",Data!G88,Data!G103))</f>
        <v>46.118299999999998</v>
      </c>
      <c r="H9" s="4">
        <f>IF(Scheme!$AR$3="Average",Data!H73,IF(Scheme!$AR$3="Dry",Data!H88,Data!H103))</f>
        <v>47.324199999999998</v>
      </c>
      <c r="I9" s="4">
        <f>IF(Scheme!$AR$3="Average",Data!I73,IF(Scheme!$AR$3="Dry",Data!I88,Data!I103))</f>
        <v>49.566099999999999</v>
      </c>
      <c r="N9">
        <v>2019</v>
      </c>
      <c r="O9" s="5">
        <v>920887</v>
      </c>
      <c r="P9" s="1">
        <v>-387.48</v>
      </c>
      <c r="Q9" s="1">
        <v>-49.295000000000002</v>
      </c>
      <c r="S9" s="3">
        <f t="shared" si="0"/>
        <v>4.8667999999999978</v>
      </c>
      <c r="T9">
        <f t="shared" si="1"/>
        <v>11.495699999999999</v>
      </c>
      <c r="U9">
        <f t="shared" si="2"/>
        <v>4.1770999999999994</v>
      </c>
      <c r="V9">
        <f t="shared" si="3"/>
        <v>1.2058999999999997</v>
      </c>
      <c r="W9">
        <f t="shared" si="4"/>
        <v>2.2419000000000011</v>
      </c>
      <c r="AB9">
        <v>2019</v>
      </c>
      <c r="AC9" s="5">
        <v>645</v>
      </c>
    </row>
    <row r="10" spans="1:29">
      <c r="A10" t="s">
        <v>54</v>
      </c>
      <c r="B10" s="4">
        <f>IF(Scheme!$AR$3="Average",Data!B74,IF(Scheme!$AR$3="Dry",Data!B89,Data!B104))</f>
        <v>73.011399999999995</v>
      </c>
      <c r="C10" s="5"/>
      <c r="D10" s="4">
        <f>IF(Scheme!$AR$3="Average",Data!D74,IF(Scheme!$AR$3="Dry",Data!D89,Data!D104))</f>
        <v>20.790600000000001</v>
      </c>
      <c r="E10" s="4">
        <f>IF(Scheme!$AR$3="Average",Data!E74,IF(Scheme!$AR$3="Dry",Data!E89,Data!E104))</f>
        <v>25.565899999999999</v>
      </c>
      <c r="F10" s="4">
        <f>IF(Scheme!$AR$3="Average",Data!F74,IF(Scheme!$AR$3="Dry",Data!F89,Data!F104))</f>
        <v>10.547000000000001</v>
      </c>
      <c r="G10" s="4">
        <f>IF(Scheme!$AR$3="Average",Data!G74,IF(Scheme!$AR$3="Dry",Data!G89,Data!G104))</f>
        <v>40.276200000000003</v>
      </c>
      <c r="H10" s="4">
        <f>IF(Scheme!$AR$3="Average",Data!H74,IF(Scheme!$AR$3="Dry",Data!H89,Data!H104))</f>
        <v>41.569600000000001</v>
      </c>
      <c r="I10" s="4">
        <f>IF(Scheme!$AR$3="Average",Data!I74,IF(Scheme!$AR$3="Dry",Data!I89,Data!I104))</f>
        <v>43.962600000000002</v>
      </c>
      <c r="P10" s="1">
        <v>-406.30700000000002</v>
      </c>
      <c r="Q10" s="1">
        <v>-53.1417</v>
      </c>
      <c r="S10" s="3">
        <f t="shared" si="0"/>
        <v>4.7752999999999979</v>
      </c>
      <c r="T10">
        <f t="shared" si="1"/>
        <v>10.547000000000001</v>
      </c>
      <c r="U10">
        <f t="shared" si="2"/>
        <v>4.1633000000000031</v>
      </c>
      <c r="V10">
        <f t="shared" si="3"/>
        <v>1.2933999999999983</v>
      </c>
      <c r="W10">
        <f t="shared" si="4"/>
        <v>2.3930000000000007</v>
      </c>
      <c r="AC10" s="5"/>
    </row>
    <row r="11" spans="1:29">
      <c r="A11" t="s">
        <v>55</v>
      </c>
      <c r="B11" s="4">
        <f>IF(Scheme!$AR$3="Average",Data!B75,IF(Scheme!$AR$3="Dry",Data!B90,Data!B105))</f>
        <v>79.421599999999998</v>
      </c>
      <c r="C11" s="5"/>
      <c r="D11" s="4">
        <f>IF(Scheme!$AR$3="Average",Data!D75,IF(Scheme!$AR$3="Dry",Data!D90,Data!D105))</f>
        <v>17.0276</v>
      </c>
      <c r="E11" s="4">
        <f>IF(Scheme!$AR$3="Average",Data!E75,IF(Scheme!$AR$3="Dry",Data!E90,Data!E105))</f>
        <v>21.734100000000002</v>
      </c>
      <c r="F11" s="4">
        <f>IF(Scheme!$AR$3="Average",Data!F75,IF(Scheme!$AR$3="Dry",Data!F90,Data!F105))</f>
        <v>9.3523899999999998</v>
      </c>
      <c r="G11" s="4">
        <f>IF(Scheme!$AR$3="Average",Data!G75,IF(Scheme!$AR$3="Dry",Data!G90,Data!G105))</f>
        <v>35.066099999999999</v>
      </c>
      <c r="H11" s="4">
        <f>IF(Scheme!$AR$3="Average",Data!H75,IF(Scheme!$AR$3="Dry",Data!H90,Data!H105))</f>
        <v>36.367600000000003</v>
      </c>
      <c r="I11" s="4">
        <f>IF(Scheme!$AR$3="Average",Data!I75,IF(Scheme!$AR$3="Dry",Data!I90,Data!I105))</f>
        <v>38.740299999999998</v>
      </c>
      <c r="P11" s="1">
        <v>-365.62700000000001</v>
      </c>
      <c r="Q11" s="1">
        <v>-55.495100000000001</v>
      </c>
      <c r="S11" s="3">
        <f t="shared" si="0"/>
        <v>4.7065000000000019</v>
      </c>
      <c r="T11">
        <f t="shared" si="1"/>
        <v>9.3523899999999998</v>
      </c>
      <c r="U11">
        <f t="shared" si="2"/>
        <v>3.9796099999999974</v>
      </c>
      <c r="V11">
        <f t="shared" si="3"/>
        <v>1.3015000000000043</v>
      </c>
      <c r="W11">
        <f t="shared" si="4"/>
        <v>2.3726999999999947</v>
      </c>
      <c r="AC11" s="5"/>
    </row>
    <row r="12" spans="1:29">
      <c r="A12" t="s">
        <v>56</v>
      </c>
      <c r="B12" s="4">
        <f>IF(Scheme!$AR$3="Average",Data!B76,IF(Scheme!$AR$3="Dry",Data!B91,Data!B106))</f>
        <v>102.04900000000001</v>
      </c>
      <c r="C12" s="5"/>
      <c r="D12" s="4">
        <f>IF(Scheme!$AR$3="Average",Data!D76,IF(Scheme!$AR$3="Dry",Data!D91,Data!D106))</f>
        <v>14.1388</v>
      </c>
      <c r="E12" s="4">
        <f>IF(Scheme!$AR$3="Average",Data!E76,IF(Scheme!$AR$3="Dry",Data!E91,Data!E106))</f>
        <v>19.651700000000002</v>
      </c>
      <c r="F12" s="4">
        <f>IF(Scheme!$AR$3="Average",Data!F76,IF(Scheme!$AR$3="Dry",Data!F91,Data!F106))</f>
        <v>9.5070300000000003</v>
      </c>
      <c r="G12" s="4">
        <f>IF(Scheme!$AR$3="Average",Data!G76,IF(Scheme!$AR$3="Dry",Data!G91,Data!G106))</f>
        <v>34.004300000000001</v>
      </c>
      <c r="H12" s="4">
        <f>IF(Scheme!$AR$3="Average",Data!H76,IF(Scheme!$AR$3="Dry",Data!H91,Data!H106))</f>
        <v>35.4373</v>
      </c>
      <c r="I12" s="4">
        <f>IF(Scheme!$AR$3="Average",Data!I76,IF(Scheme!$AR$3="Dry",Data!I91,Data!I106))</f>
        <v>38.101500000000001</v>
      </c>
      <c r="N12" t="s">
        <v>57</v>
      </c>
      <c r="P12" s="1">
        <v>-368.78899999999999</v>
      </c>
      <c r="Q12" s="1">
        <v>-51.246400000000001</v>
      </c>
      <c r="S12" s="3">
        <f t="shared" si="0"/>
        <v>5.5129000000000019</v>
      </c>
      <c r="T12">
        <f t="shared" si="1"/>
        <v>9.5070300000000003</v>
      </c>
      <c r="U12">
        <f t="shared" si="2"/>
        <v>4.8455699999999986</v>
      </c>
      <c r="V12">
        <f t="shared" si="3"/>
        <v>1.4329999999999998</v>
      </c>
      <c r="W12">
        <f t="shared" si="4"/>
        <v>2.664200000000001</v>
      </c>
      <c r="AB12" t="s">
        <v>57</v>
      </c>
      <c r="AC12" s="5"/>
    </row>
    <row r="13" spans="1:29">
      <c r="A13" t="s">
        <v>58</v>
      </c>
      <c r="B13" s="4">
        <f>IF(Scheme!$AR$3="Average",Data!B77,IF(Scheme!$AR$3="Dry",Data!B92,Data!B107))</f>
        <v>173.21799999999999</v>
      </c>
      <c r="C13" s="5"/>
      <c r="D13" s="4">
        <f>IF(Scheme!$AR$3="Average",Data!D77,IF(Scheme!$AR$3="Dry",Data!D92,Data!D107))</f>
        <v>12.3767</v>
      </c>
      <c r="E13" s="4">
        <f>IF(Scheme!$AR$3="Average",Data!E77,IF(Scheme!$AR$3="Dry",Data!E92,Data!E107))</f>
        <v>21.438099999999999</v>
      </c>
      <c r="F13" s="4">
        <f>IF(Scheme!$AR$3="Average",Data!F77,IF(Scheme!$AR$3="Dry",Data!F92,Data!F107))</f>
        <v>12.1166</v>
      </c>
      <c r="G13" s="4">
        <f>IF(Scheme!$AR$3="Average",Data!G77,IF(Scheme!$AR$3="Dry",Data!G92,Data!G107))</f>
        <v>43.451900000000002</v>
      </c>
      <c r="H13" s="4">
        <f>IF(Scheme!$AR$3="Average",Data!H77,IF(Scheme!$AR$3="Dry",Data!H92,Data!H107))</f>
        <v>45.721800000000002</v>
      </c>
      <c r="I13" s="4">
        <f>IF(Scheme!$AR$3="Average",Data!I77,IF(Scheme!$AR$3="Dry",Data!I92,Data!I107))</f>
        <v>49.896900000000002</v>
      </c>
      <c r="N13" t="s">
        <v>17</v>
      </c>
      <c r="O13" s="5">
        <f>IF(Scheme!$AR$3="Average",O8,O9)</f>
        <v>925101</v>
      </c>
      <c r="P13" s="1">
        <v>-168.518</v>
      </c>
      <c r="Q13" s="1">
        <v>-36.948900000000002</v>
      </c>
      <c r="S13" s="3">
        <f t="shared" si="0"/>
        <v>9.061399999999999</v>
      </c>
      <c r="T13">
        <f t="shared" si="1"/>
        <v>12.1166</v>
      </c>
      <c r="U13">
        <f t="shared" si="2"/>
        <v>9.8972000000000051</v>
      </c>
      <c r="V13">
        <f t="shared" si="3"/>
        <v>2.2698999999999998</v>
      </c>
      <c r="W13">
        <f t="shared" si="4"/>
        <v>4.1751000000000005</v>
      </c>
      <c r="AB13" t="s">
        <v>17</v>
      </c>
      <c r="AC13" s="5">
        <f>IF(Scheme!$AR$3="Average",AC8,AC9)</f>
        <v>750</v>
      </c>
    </row>
    <row r="14" spans="1:29">
      <c r="S14" s="3"/>
    </row>
    <row r="15" spans="1:29">
      <c r="B15" s="2" t="s">
        <v>59</v>
      </c>
      <c r="G15" s="2" t="s">
        <v>37</v>
      </c>
      <c r="M15" t="s">
        <v>60</v>
      </c>
      <c r="N15" t="s">
        <v>61</v>
      </c>
      <c r="O15" t="s">
        <v>35</v>
      </c>
      <c r="P15" t="s">
        <v>62</v>
      </c>
      <c r="Q15" t="s">
        <v>37</v>
      </c>
      <c r="R15" t="s">
        <v>31</v>
      </c>
      <c r="S15" t="s">
        <v>38</v>
      </c>
      <c r="T15" t="s">
        <v>39</v>
      </c>
      <c r="U15" t="s">
        <v>40</v>
      </c>
      <c r="V15" t="s">
        <v>63</v>
      </c>
    </row>
    <row r="16" spans="1:29">
      <c r="B16" t="s">
        <v>13</v>
      </c>
      <c r="C16" s="23">
        <f>Scheme!G6</f>
        <v>2.5000000000000001E-2</v>
      </c>
      <c r="D16" t="s">
        <v>64</v>
      </c>
      <c r="L16">
        <v>31</v>
      </c>
      <c r="M16" t="s">
        <v>65</v>
      </c>
      <c r="N16" s="9">
        <f>B2-E22-F22</f>
        <v>526.85500000000002</v>
      </c>
      <c r="O16" s="9">
        <f>O13+(N16+P2)*3600*24*L16/1000000</f>
        <v>926741.57008608</v>
      </c>
      <c r="P16" s="9">
        <f xml:space="preserve"> 0.000000000009246073*O16^3 - 0.0000254033*O16^2 + 23.26406*O16 - 7101387</f>
        <v>6.685968829318881</v>
      </c>
      <c r="Q16" s="9">
        <f>P16+S2</f>
        <v>35.103968829318887</v>
      </c>
      <c r="R16" s="9">
        <f>I43</f>
        <v>26.479199999999999</v>
      </c>
      <c r="S16" s="9">
        <f>R16+Q16</f>
        <v>61.583168829318886</v>
      </c>
      <c r="T16" s="9">
        <f>S16-J22+V2</f>
        <v>69.766268829318875</v>
      </c>
      <c r="U16" s="9">
        <f>T16+W2-F43-E43</f>
        <v>82.052268829318876</v>
      </c>
      <c r="V16" s="9">
        <f>AC13+(U16+Q2)*3600*24*L16/1000000</f>
        <v>911.62528611244761</v>
      </c>
    </row>
    <row r="17" spans="2:22">
      <c r="B17" t="s">
        <v>66</v>
      </c>
      <c r="C17" s="23">
        <f>Scheme!G4</f>
        <v>0.25603809732137189</v>
      </c>
      <c r="D17" t="s">
        <v>64</v>
      </c>
      <c r="G17" t="s">
        <v>66</v>
      </c>
      <c r="H17" s="23">
        <f>Scheme!AN26</f>
        <v>0.64186764588524947</v>
      </c>
      <c r="I17" t="s">
        <v>64</v>
      </c>
      <c r="L17">
        <v>28</v>
      </c>
      <c r="M17" t="s">
        <v>45</v>
      </c>
      <c r="N17" s="9">
        <f t="shared" ref="N17:N27" si="5">B3-E23-F23</f>
        <v>820.01900000000001</v>
      </c>
      <c r="O17" s="9">
        <f>O16+(N17+P3)*3600*24*L17/1000000</f>
        <v>928862.64263520006</v>
      </c>
      <c r="P17" s="9">
        <f t="shared" ref="P17:P27" si="6" xml:space="preserve"> 0.000000000009246073*O17^3 - 0.0000254033*O17^2 + 23.26406*O17 - 7101387</f>
        <v>13.310911994427443</v>
      </c>
      <c r="Q17" s="9">
        <f t="shared" ref="Q17:Q27" si="7">P17+S3</f>
        <v>56.450011994427442</v>
      </c>
      <c r="R17" s="9">
        <f t="shared" ref="R17:R27" si="8">I44</f>
        <v>44.877800000000001</v>
      </c>
      <c r="S17" s="9">
        <f t="shared" ref="S17:S27" si="9">R17+Q17</f>
        <v>101.32781199442744</v>
      </c>
      <c r="T17" s="9">
        <f t="shared" ref="T17:T27" si="10">S17-J23+V3</f>
        <v>115.32381199442744</v>
      </c>
      <c r="U17" s="9">
        <f t="shared" ref="U17:U27" si="11">T17+W3-F44-E44</f>
        <v>139.61981199442744</v>
      </c>
      <c r="V17" s="9">
        <f>V16+(U17+Q3)*3600*24*L17/1000000</f>
        <v>1189.8855698493664</v>
      </c>
    </row>
    <row r="18" spans="2:22">
      <c r="B18" t="s">
        <v>13</v>
      </c>
      <c r="C18">
        <v>1.5</v>
      </c>
      <c r="D18" t="s">
        <v>67</v>
      </c>
      <c r="L18">
        <v>31</v>
      </c>
      <c r="M18" t="s">
        <v>47</v>
      </c>
      <c r="N18" s="9">
        <f t="shared" si="5"/>
        <v>565.87199999999996</v>
      </c>
      <c r="O18" s="9">
        <f t="shared" ref="O18:O27" si="12">O17+(N18+P4)*3600*24*L18/1000000</f>
        <v>930216.41420256009</v>
      </c>
      <c r="P18" s="9">
        <f t="shared" si="6"/>
        <v>19.207366660237312</v>
      </c>
      <c r="Q18" s="9">
        <f t="shared" si="7"/>
        <v>45.680366660237311</v>
      </c>
      <c r="R18" s="9">
        <f t="shared" si="8"/>
        <v>34.886800000000001</v>
      </c>
      <c r="S18" s="9">
        <f t="shared" si="9"/>
        <v>80.567166660237319</v>
      </c>
      <c r="T18" s="9">
        <f t="shared" si="10"/>
        <v>86.502166660237322</v>
      </c>
      <c r="U18" s="9">
        <f t="shared" si="11"/>
        <v>98.607166660237326</v>
      </c>
      <c r="V18" s="9">
        <f t="shared" ref="V18:V27" si="13">V17+(U18+Q4)*3600*24*L18/1000000</f>
        <v>1361.1268418321461</v>
      </c>
    </row>
    <row r="19" spans="2:22">
      <c r="B19">
        <v>2500000</v>
      </c>
      <c r="C19" t="s">
        <v>68</v>
      </c>
      <c r="L19">
        <v>30</v>
      </c>
      <c r="M19" t="s">
        <v>49</v>
      </c>
      <c r="N19" s="9">
        <f t="shared" si="5"/>
        <v>323.99</v>
      </c>
      <c r="O19" s="9">
        <f t="shared" si="12"/>
        <v>930378.40124256012</v>
      </c>
      <c r="P19" s="9">
        <f t="shared" si="6"/>
        <v>20.008236195892096</v>
      </c>
      <c r="Q19" s="9">
        <f t="shared" si="7"/>
        <v>34.6830361958921</v>
      </c>
      <c r="R19" s="9">
        <f t="shared" si="8"/>
        <v>25.050899999999999</v>
      </c>
      <c r="S19" s="9">
        <f t="shared" si="9"/>
        <v>59.733936195892099</v>
      </c>
      <c r="T19" s="9">
        <f t="shared" si="10"/>
        <v>60.902336195892097</v>
      </c>
      <c r="U19" s="9">
        <f t="shared" si="11"/>
        <v>65.0948361958921</v>
      </c>
      <c r="V19" s="9">
        <f t="shared" si="13"/>
        <v>1402.9304524518984</v>
      </c>
    </row>
    <row r="20" spans="2:22">
      <c r="B20" t="s">
        <v>69</v>
      </c>
      <c r="G20" t="s">
        <v>69</v>
      </c>
      <c r="L20">
        <v>31</v>
      </c>
      <c r="M20" t="s">
        <v>50</v>
      </c>
      <c r="N20" s="9">
        <f t="shared" si="5"/>
        <v>174.45099999999999</v>
      </c>
      <c r="O20" s="9">
        <f t="shared" si="12"/>
        <v>929887.03804896015</v>
      </c>
      <c r="P20" s="9">
        <f t="shared" si="6"/>
        <v>17.64328445866704</v>
      </c>
      <c r="Q20" s="9">
        <f t="shared" si="7"/>
        <v>25.722984458667035</v>
      </c>
      <c r="R20" s="9">
        <f t="shared" si="8"/>
        <v>17.2408</v>
      </c>
      <c r="S20" s="9">
        <f t="shared" si="9"/>
        <v>42.963784458667035</v>
      </c>
      <c r="T20" s="9">
        <f t="shared" si="10"/>
        <v>42.047884458667035</v>
      </c>
      <c r="U20" s="9">
        <f t="shared" si="11"/>
        <v>42.917884458667039</v>
      </c>
      <c r="V20" s="9">
        <f t="shared" si="13"/>
        <v>1384.6374745059923</v>
      </c>
    </row>
    <row r="21" spans="2:22">
      <c r="B21">
        <v>500000</v>
      </c>
      <c r="C21" t="s">
        <v>70</v>
      </c>
      <c r="D21" t="s">
        <v>71</v>
      </c>
      <c r="E21" t="s">
        <v>72</v>
      </c>
      <c r="F21" t="s">
        <v>73</v>
      </c>
      <c r="G21">
        <v>21000</v>
      </c>
      <c r="H21" s="3" t="s">
        <v>70</v>
      </c>
      <c r="I21" t="s">
        <v>71</v>
      </c>
      <c r="J21" t="s">
        <v>73</v>
      </c>
      <c r="L21">
        <v>30</v>
      </c>
      <c r="M21" t="s">
        <v>51</v>
      </c>
      <c r="N21" s="9">
        <f t="shared" si="5"/>
        <v>105.926</v>
      </c>
      <c r="O21" s="9">
        <f t="shared" si="12"/>
        <v>929304.4031049601</v>
      </c>
      <c r="P21" s="9">
        <f t="shared" si="6"/>
        <v>15.08262094296515</v>
      </c>
      <c r="Q21" s="9">
        <f t="shared" si="7"/>
        <v>21.474420942965146</v>
      </c>
      <c r="R21" s="9">
        <f t="shared" si="8"/>
        <v>14.445500000000001</v>
      </c>
      <c r="S21" s="9">
        <f t="shared" si="9"/>
        <v>35.919920942965149</v>
      </c>
      <c r="T21" s="9">
        <f t="shared" si="10"/>
        <v>33.133920942965148</v>
      </c>
      <c r="U21" s="9">
        <f t="shared" si="11"/>
        <v>33.133920942965148</v>
      </c>
      <c r="V21" s="9">
        <f t="shared" si="13"/>
        <v>1354.9059927901578</v>
      </c>
    </row>
    <row r="22" spans="2:22">
      <c r="B22" t="s">
        <v>65</v>
      </c>
      <c r="C22">
        <v>0</v>
      </c>
      <c r="D22" s="1">
        <f>B2-E22</f>
        <v>526.85500000000002</v>
      </c>
      <c r="E22">
        <f>IF($C$16*B2&lt;$C$18,$C$16*B2,$C$18)</f>
        <v>1.5</v>
      </c>
      <c r="F22">
        <f>IF($C$17*D22&lt;C22,$C$17*D22,C22)</f>
        <v>0</v>
      </c>
      <c r="G22" t="s">
        <v>65</v>
      </c>
      <c r="H22" s="3">
        <v>0</v>
      </c>
      <c r="I22" s="6">
        <f>S16-J22</f>
        <v>61.583168829318886</v>
      </c>
      <c r="J22">
        <f>IF($H$17*S16&lt;H22,$H$17*S16,H22)</f>
        <v>0</v>
      </c>
      <c r="L22">
        <v>31</v>
      </c>
      <c r="M22" t="s">
        <v>52</v>
      </c>
      <c r="N22" s="9">
        <f t="shared" si="5"/>
        <v>71.977900000000005</v>
      </c>
      <c r="O22" s="9">
        <f t="shared" si="12"/>
        <v>928575.43074432015</v>
      </c>
      <c r="P22" s="9">
        <f t="shared" si="6"/>
        <v>12.235057298094034</v>
      </c>
      <c r="Q22" s="9">
        <f t="shared" si="7"/>
        <v>17.621657298094036</v>
      </c>
      <c r="R22" s="9">
        <f t="shared" si="8"/>
        <v>11.835600000000001</v>
      </c>
      <c r="S22" s="9">
        <f t="shared" si="9"/>
        <v>29.457257298094035</v>
      </c>
      <c r="T22" s="9">
        <f t="shared" si="10"/>
        <v>26.523557298094037</v>
      </c>
      <c r="U22" s="9">
        <f t="shared" si="11"/>
        <v>26.523557298094037</v>
      </c>
      <c r="V22" s="9">
        <f t="shared" si="13"/>
        <v>1306.3620211373729</v>
      </c>
    </row>
    <row r="23" spans="2:22">
      <c r="B23" t="s">
        <v>45</v>
      </c>
      <c r="C23">
        <v>0</v>
      </c>
      <c r="D23" s="1">
        <f t="shared" ref="D23:D33" si="14">B3-E23</f>
        <v>820.01900000000001</v>
      </c>
      <c r="E23">
        <f t="shared" ref="E23:E33" si="15">IF($C$16*B3&lt;$C$18,$C$16*B3,$C$18)</f>
        <v>1.5</v>
      </c>
      <c r="F23">
        <f t="shared" ref="F23:F33" si="16">IF($C$17*D23&lt;C23,$C$17*D23,C23)</f>
        <v>0</v>
      </c>
      <c r="G23" t="s">
        <v>45</v>
      </c>
      <c r="H23" s="3">
        <v>0</v>
      </c>
      <c r="I23" s="6">
        <f t="shared" ref="I23:I33" si="17">S17-J23</f>
        <v>101.32781199442744</v>
      </c>
      <c r="J23">
        <f t="shared" ref="J23:J33" si="18">IF($H$17*S17&lt;H23,$H$17*S17,H23)</f>
        <v>0</v>
      </c>
      <c r="L23">
        <v>30</v>
      </c>
      <c r="M23" t="s">
        <v>74</v>
      </c>
      <c r="N23" s="9">
        <f t="shared" si="5"/>
        <v>54.79934099702453</v>
      </c>
      <c r="O23" s="9">
        <f t="shared" si="12"/>
        <v>927713.12247618439</v>
      </c>
      <c r="P23" s="9">
        <f t="shared" si="6"/>
        <v>9.3503332138061523</v>
      </c>
      <c r="Q23" s="9">
        <f t="shared" si="7"/>
        <v>14.21713321380615</v>
      </c>
      <c r="R23" s="9">
        <f t="shared" si="8"/>
        <v>9.3866048516822094</v>
      </c>
      <c r="S23" s="9">
        <f t="shared" si="9"/>
        <v>23.603738065488358</v>
      </c>
      <c r="T23" s="9">
        <f t="shared" si="10"/>
        <v>9.6591622793012935</v>
      </c>
      <c r="U23" s="9">
        <f t="shared" si="11"/>
        <v>9.6591622793012935</v>
      </c>
      <c r="V23" s="9">
        <f t="shared" si="13"/>
        <v>1203.6259297653219</v>
      </c>
    </row>
    <row r="24" spans="2:22">
      <c r="B24" t="s">
        <v>47</v>
      </c>
      <c r="C24">
        <v>0</v>
      </c>
      <c r="D24" s="1">
        <f t="shared" si="14"/>
        <v>565.87199999999996</v>
      </c>
      <c r="E24">
        <f t="shared" si="15"/>
        <v>1.5</v>
      </c>
      <c r="F24">
        <f t="shared" si="16"/>
        <v>0</v>
      </c>
      <c r="G24" t="s">
        <v>47</v>
      </c>
      <c r="H24" s="3">
        <v>0</v>
      </c>
      <c r="I24" s="6">
        <f t="shared" si="17"/>
        <v>80.567166660237319</v>
      </c>
      <c r="J24">
        <f t="shared" si="18"/>
        <v>0</v>
      </c>
      <c r="L24">
        <v>30</v>
      </c>
      <c r="M24" t="s">
        <v>54</v>
      </c>
      <c r="N24" s="9">
        <f t="shared" si="5"/>
        <v>53.201757207212438</v>
      </c>
      <c r="O24" s="9">
        <f t="shared" si="12"/>
        <v>926797.87368686544</v>
      </c>
      <c r="P24" s="9">
        <f t="shared" si="6"/>
        <v>6.8242779206484556</v>
      </c>
      <c r="Q24" s="9">
        <f t="shared" si="7"/>
        <v>11.599577920648453</v>
      </c>
      <c r="R24" s="9">
        <f t="shared" si="8"/>
        <v>8.611961113346057</v>
      </c>
      <c r="S24" s="9">
        <f t="shared" si="9"/>
        <v>20.211539033994512</v>
      </c>
      <c r="T24" s="9">
        <f t="shared" si="10"/>
        <v>8.5318060545266245</v>
      </c>
      <c r="U24" s="9">
        <f t="shared" si="11"/>
        <v>8.5318060545266228</v>
      </c>
      <c r="V24" s="9">
        <f t="shared" si="13"/>
        <v>1087.9970846586548</v>
      </c>
    </row>
    <row r="25" spans="2:22">
      <c r="B25" t="s">
        <v>49</v>
      </c>
      <c r="C25" s="1">
        <v>1.6320000000000001</v>
      </c>
      <c r="D25" s="1">
        <f t="shared" si="14"/>
        <v>325.62200000000001</v>
      </c>
      <c r="E25">
        <f t="shared" si="15"/>
        <v>1.5</v>
      </c>
      <c r="F25">
        <f t="shared" si="16"/>
        <v>1.6320000000000001</v>
      </c>
      <c r="G25" t="s">
        <v>49</v>
      </c>
      <c r="H25" s="3">
        <v>1.68</v>
      </c>
      <c r="I25" s="6">
        <f t="shared" si="17"/>
        <v>58.053936195892099</v>
      </c>
      <c r="J25">
        <f t="shared" si="18"/>
        <v>1.68</v>
      </c>
      <c r="L25">
        <v>31</v>
      </c>
      <c r="M25" t="s">
        <v>55</v>
      </c>
      <c r="N25" s="9">
        <f t="shared" si="5"/>
        <v>57.970701795762992</v>
      </c>
      <c r="O25" s="9">
        <f t="shared" si="12"/>
        <v>925973.84705775522</v>
      </c>
      <c r="P25" s="9">
        <f t="shared" si="6"/>
        <v>4.9875024855136871</v>
      </c>
      <c r="Q25" s="9">
        <f t="shared" si="7"/>
        <v>9.694002485513689</v>
      </c>
      <c r="R25" s="9">
        <f t="shared" si="8"/>
        <v>7.6365240349717007</v>
      </c>
      <c r="S25" s="9">
        <f t="shared" si="9"/>
        <v>17.330526520485389</v>
      </c>
      <c r="T25" s="9">
        <f t="shared" si="10"/>
        <v>7.5081222608295537</v>
      </c>
      <c r="U25" s="9">
        <f t="shared" si="11"/>
        <v>7.5081222608295537</v>
      </c>
      <c r="V25" s="9">
        <f t="shared" si="13"/>
        <v>959.46876348206069</v>
      </c>
    </row>
    <row r="26" spans="2:22">
      <c r="B26" t="s">
        <v>50</v>
      </c>
      <c r="C26" s="1">
        <v>3.2640000000000002</v>
      </c>
      <c r="D26" s="1">
        <f t="shared" si="14"/>
        <v>177.715</v>
      </c>
      <c r="E26">
        <f t="shared" si="15"/>
        <v>1.5</v>
      </c>
      <c r="F26">
        <f t="shared" si="16"/>
        <v>3.2640000000000002</v>
      </c>
      <c r="G26" t="s">
        <v>50</v>
      </c>
      <c r="H26" s="3">
        <v>2.52</v>
      </c>
      <c r="I26" s="6">
        <f t="shared" si="17"/>
        <v>40.443784458667032</v>
      </c>
      <c r="J26">
        <f t="shared" si="18"/>
        <v>2.52</v>
      </c>
      <c r="L26">
        <v>30</v>
      </c>
      <c r="M26" t="s">
        <v>56</v>
      </c>
      <c r="N26" s="9">
        <f t="shared" si="5"/>
        <v>76.069000000000003</v>
      </c>
      <c r="O26" s="9">
        <f t="shared" si="12"/>
        <v>925215.11681775528</v>
      </c>
      <c r="P26" s="9">
        <f t="shared" si="6"/>
        <v>3.6351270638406277</v>
      </c>
      <c r="Q26" s="9">
        <f t="shared" si="7"/>
        <v>9.1480270638406296</v>
      </c>
      <c r="R26" s="9">
        <f t="shared" si="8"/>
        <v>8.227030000000001</v>
      </c>
      <c r="S26" s="9">
        <f t="shared" si="9"/>
        <v>17.375057063840629</v>
      </c>
      <c r="T26" s="9">
        <f t="shared" si="10"/>
        <v>7.6555700891513698</v>
      </c>
      <c r="U26" s="9">
        <f t="shared" si="11"/>
        <v>7.6555700891513698</v>
      </c>
      <c r="V26" s="9">
        <f t="shared" si="13"/>
        <v>846.48133235314106</v>
      </c>
    </row>
    <row r="27" spans="2:22">
      <c r="B27" t="s">
        <v>51</v>
      </c>
      <c r="C27" s="1">
        <v>13.056000000000001</v>
      </c>
      <c r="D27" s="1">
        <f t="shared" si="14"/>
        <v>118.982</v>
      </c>
      <c r="E27">
        <f t="shared" si="15"/>
        <v>1.5</v>
      </c>
      <c r="F27">
        <f t="shared" si="16"/>
        <v>13.056000000000001</v>
      </c>
      <c r="G27" t="s">
        <v>51</v>
      </c>
      <c r="H27" s="3">
        <v>4.2</v>
      </c>
      <c r="I27" s="6">
        <f t="shared" si="17"/>
        <v>31.71992094296515</v>
      </c>
      <c r="J27">
        <f t="shared" si="18"/>
        <v>4.2</v>
      </c>
      <c r="L27">
        <v>31</v>
      </c>
      <c r="M27" t="s">
        <v>75</v>
      </c>
      <c r="N27" s="9">
        <f t="shared" si="5"/>
        <v>165.19</v>
      </c>
      <c r="O27" s="9">
        <f t="shared" si="12"/>
        <v>925206.20310255524</v>
      </c>
      <c r="P27" s="9">
        <f t="shared" si="6"/>
        <v>3.6210691463202238</v>
      </c>
      <c r="Q27" s="9">
        <f t="shared" si="7"/>
        <v>12.682469146320223</v>
      </c>
      <c r="R27" s="9">
        <f t="shared" si="8"/>
        <v>10.836600000000001</v>
      </c>
      <c r="S27" s="9">
        <f t="shared" si="9"/>
        <v>23.519069146320223</v>
      </c>
      <c r="T27" s="9">
        <f t="shared" si="10"/>
        <v>21.588969146320224</v>
      </c>
      <c r="U27" s="9">
        <f t="shared" si="11"/>
        <v>22.464069146320224</v>
      </c>
      <c r="V27" s="9">
        <f t="shared" si="13"/>
        <v>807.68516139464509</v>
      </c>
    </row>
    <row r="28" spans="2:22">
      <c r="B28" t="s">
        <v>52</v>
      </c>
      <c r="C28" s="1">
        <v>16.32</v>
      </c>
      <c r="D28" s="1">
        <f t="shared" si="14"/>
        <v>88.297899999999998</v>
      </c>
      <c r="E28">
        <f t="shared" si="15"/>
        <v>1.5</v>
      </c>
      <c r="F28">
        <f t="shared" si="16"/>
        <v>16.32</v>
      </c>
      <c r="G28" t="s">
        <v>52</v>
      </c>
      <c r="H28" s="3">
        <v>4.2</v>
      </c>
      <c r="I28" s="6">
        <f t="shared" si="17"/>
        <v>25.257257298094036</v>
      </c>
      <c r="J28">
        <f t="shared" si="18"/>
        <v>4.2</v>
      </c>
      <c r="N28" s="13">
        <f t="shared" ref="N28:V28" si="19">AVERAGE(N16:N27)</f>
        <v>249.69347499999995</v>
      </c>
      <c r="O28" s="13">
        <f t="shared" si="19"/>
        <v>927906.00526714651</v>
      </c>
      <c r="P28" s="13">
        <f t="shared" si="19"/>
        <v>11.049313017477592</v>
      </c>
      <c r="Q28" s="13">
        <f t="shared" si="19"/>
        <v>24.506471350810926</v>
      </c>
      <c r="R28" s="13">
        <f t="shared" si="19"/>
        <v>18.292943333333334</v>
      </c>
      <c r="S28" s="13">
        <f t="shared" si="19"/>
        <v>42.799414684144246</v>
      </c>
      <c r="T28" s="13">
        <f t="shared" si="19"/>
        <v>40.761964684144253</v>
      </c>
      <c r="U28" s="13">
        <f t="shared" si="19"/>
        <v>45.314014684144261</v>
      </c>
      <c r="V28" s="13">
        <f t="shared" si="19"/>
        <v>1151.3943258611005</v>
      </c>
    </row>
    <row r="29" spans="2:22">
      <c r="B29" t="s">
        <v>74</v>
      </c>
      <c r="C29" s="1">
        <v>24.48</v>
      </c>
      <c r="D29" s="1">
        <f t="shared" si="14"/>
        <v>73.658799999999999</v>
      </c>
      <c r="E29">
        <f t="shared" si="15"/>
        <v>1.5</v>
      </c>
      <c r="F29">
        <f t="shared" si="16"/>
        <v>18.859459002975466</v>
      </c>
      <c r="G29" t="s">
        <v>74</v>
      </c>
      <c r="H29" s="3">
        <v>16.8</v>
      </c>
      <c r="I29" s="6">
        <f t="shared" si="17"/>
        <v>8.4532622793012937</v>
      </c>
      <c r="J29">
        <f t="shared" si="18"/>
        <v>15.150475786187064</v>
      </c>
      <c r="O29" s="12">
        <f>MIN(O16:O27)</f>
        <v>925206.20310255524</v>
      </c>
      <c r="V29" s="12">
        <f>MIN(V16:V27)</f>
        <v>807.68516139464509</v>
      </c>
    </row>
    <row r="30" spans="2:22">
      <c r="B30" t="s">
        <v>54</v>
      </c>
      <c r="C30" s="1">
        <v>32.64</v>
      </c>
      <c r="D30" s="1">
        <f t="shared" si="14"/>
        <v>71.511399999999995</v>
      </c>
      <c r="E30">
        <f t="shared" si="15"/>
        <v>1.5</v>
      </c>
      <c r="F30">
        <f t="shared" si="16"/>
        <v>18.309642792787553</v>
      </c>
      <c r="G30" t="s">
        <v>54</v>
      </c>
      <c r="H30" s="3">
        <v>21</v>
      </c>
      <c r="I30" s="6">
        <f t="shared" si="17"/>
        <v>7.2384060545266262</v>
      </c>
      <c r="J30">
        <f t="shared" si="18"/>
        <v>12.973132979467886</v>
      </c>
    </row>
    <row r="31" spans="2:22">
      <c r="B31" t="s">
        <v>55</v>
      </c>
      <c r="C31" s="1">
        <v>40.800000000000004</v>
      </c>
      <c r="D31" s="1">
        <f t="shared" si="14"/>
        <v>77.921599999999998</v>
      </c>
      <c r="E31">
        <f t="shared" si="15"/>
        <v>1.5</v>
      </c>
      <c r="F31">
        <f t="shared" si="16"/>
        <v>19.95089820423701</v>
      </c>
      <c r="G31" t="s">
        <v>55</v>
      </c>
      <c r="H31" s="3">
        <v>16.8</v>
      </c>
      <c r="I31" s="6">
        <f t="shared" si="17"/>
        <v>6.2066222608295494</v>
      </c>
      <c r="J31">
        <f t="shared" si="18"/>
        <v>11.12390425965584</v>
      </c>
    </row>
    <row r="32" spans="2:22">
      <c r="B32" t="s">
        <v>56</v>
      </c>
      <c r="C32" s="1">
        <v>24.48</v>
      </c>
      <c r="D32" s="1">
        <f t="shared" si="14"/>
        <v>100.54900000000001</v>
      </c>
      <c r="E32">
        <f t="shared" si="15"/>
        <v>1.5</v>
      </c>
      <c r="F32">
        <f t="shared" si="16"/>
        <v>24.48</v>
      </c>
      <c r="G32" t="s">
        <v>56</v>
      </c>
      <c r="H32" s="3">
        <v>12.6</v>
      </c>
      <c r="I32" s="6">
        <f t="shared" si="17"/>
        <v>6.22257008915137</v>
      </c>
      <c r="J32">
        <f t="shared" si="18"/>
        <v>11.152486974689259</v>
      </c>
    </row>
    <row r="33" spans="2:14">
      <c r="B33" t="s">
        <v>75</v>
      </c>
      <c r="C33" s="1">
        <v>6.5280000000000005</v>
      </c>
      <c r="D33" s="1">
        <f t="shared" si="14"/>
        <v>171.71799999999999</v>
      </c>
      <c r="E33">
        <f t="shared" si="15"/>
        <v>1.5</v>
      </c>
      <c r="F33">
        <f t="shared" si="16"/>
        <v>6.5280000000000005</v>
      </c>
      <c r="G33" t="s">
        <v>75</v>
      </c>
      <c r="H33" s="3">
        <v>4.2</v>
      </c>
      <c r="I33" s="6">
        <f t="shared" si="17"/>
        <v>19.319069146320224</v>
      </c>
      <c r="J33">
        <f t="shared" si="18"/>
        <v>4.2</v>
      </c>
      <c r="M33">
        <v>923000</v>
      </c>
      <c r="N33">
        <v>0</v>
      </c>
    </row>
    <row r="34" spans="2:14">
      <c r="B34" s="2" t="s">
        <v>8</v>
      </c>
      <c r="C34">
        <f>AVERAGE(C22:C33)</f>
        <v>13.6</v>
      </c>
      <c r="D34" t="s">
        <v>67</v>
      </c>
      <c r="E34" s="7">
        <f>AVERAGE(E22:E33)</f>
        <v>1.5</v>
      </c>
      <c r="F34" s="7">
        <f>AVERAGE(F22:F33)</f>
        <v>10.200000000000005</v>
      </c>
      <c r="G34" s="2" t="s">
        <v>8</v>
      </c>
      <c r="H34" s="3">
        <f>AVERAGE(H22:H33)</f>
        <v>7</v>
      </c>
      <c r="I34" s="3" t="s">
        <v>67</v>
      </c>
      <c r="J34" s="7">
        <f>AVERAGE(J22:J33)</f>
        <v>5.6000000000000041</v>
      </c>
      <c r="M34">
        <v>924000</v>
      </c>
      <c r="N34">
        <v>0.01</v>
      </c>
    </row>
    <row r="35" spans="2:14">
      <c r="M35">
        <v>925000</v>
      </c>
      <c r="N35">
        <v>0.5</v>
      </c>
    </row>
    <row r="36" spans="2:14">
      <c r="B36" s="2" t="s">
        <v>63</v>
      </c>
      <c r="G36" s="2" t="s">
        <v>76</v>
      </c>
      <c r="M36">
        <v>926000</v>
      </c>
      <c r="N36">
        <v>1</v>
      </c>
    </row>
    <row r="37" spans="2:14">
      <c r="B37" t="s">
        <v>13</v>
      </c>
      <c r="C37" s="23">
        <f>Scheme!AN38</f>
        <v>0.15</v>
      </c>
      <c r="D37" t="s">
        <v>64</v>
      </c>
      <c r="M37">
        <v>927000</v>
      </c>
      <c r="N37">
        <v>1.5</v>
      </c>
    </row>
    <row r="38" spans="2:14">
      <c r="B38" t="s">
        <v>66</v>
      </c>
      <c r="C38" s="23">
        <f>Scheme!AN36</f>
        <v>1</v>
      </c>
      <c r="D38" t="s">
        <v>64</v>
      </c>
      <c r="G38" t="s">
        <v>66</v>
      </c>
      <c r="H38" s="23">
        <f>Scheme!G36</f>
        <v>0.18346817925987891</v>
      </c>
      <c r="I38" t="s">
        <v>64</v>
      </c>
      <c r="M38">
        <v>928000</v>
      </c>
      <c r="N38">
        <v>8</v>
      </c>
    </row>
    <row r="39" spans="2:14">
      <c r="B39" t="s">
        <v>77</v>
      </c>
      <c r="C39">
        <v>0.3</v>
      </c>
      <c r="D39" t="s">
        <v>67</v>
      </c>
      <c r="M39">
        <v>929000</v>
      </c>
      <c r="N39">
        <v>12</v>
      </c>
    </row>
    <row r="40" spans="2:14">
      <c r="B40">
        <v>500000</v>
      </c>
      <c r="C40" t="s">
        <v>68</v>
      </c>
      <c r="M40">
        <v>930000</v>
      </c>
      <c r="N40">
        <v>15</v>
      </c>
    </row>
    <row r="41" spans="2:14">
      <c r="G41" t="s">
        <v>69</v>
      </c>
      <c r="M41">
        <v>931000</v>
      </c>
      <c r="N41">
        <v>20</v>
      </c>
    </row>
    <row r="42" spans="2:14">
      <c r="B42">
        <v>12000</v>
      </c>
      <c r="C42" t="s">
        <v>70</v>
      </c>
      <c r="D42" t="s">
        <v>71</v>
      </c>
      <c r="E42" t="s">
        <v>72</v>
      </c>
      <c r="F42" t="s">
        <v>73</v>
      </c>
      <c r="G42">
        <v>4300</v>
      </c>
      <c r="H42" s="3" t="s">
        <v>70</v>
      </c>
      <c r="I42" s="3" t="s">
        <v>71</v>
      </c>
      <c r="J42" t="s">
        <v>73</v>
      </c>
      <c r="M42">
        <v>932000</v>
      </c>
      <c r="N42">
        <v>30</v>
      </c>
    </row>
    <row r="43" spans="2:14">
      <c r="B43" t="s">
        <v>65</v>
      </c>
      <c r="C43">
        <v>0</v>
      </c>
      <c r="D43">
        <f>W2-E43</f>
        <v>12.285999999999998</v>
      </c>
      <c r="E43">
        <f>IF($C$37*W2&lt;$C$39,$C$37*W2,$C$39)</f>
        <v>0.3</v>
      </c>
      <c r="F43">
        <f>IF($C$38*D43&lt;C43,$C$38*D43,C43)</f>
        <v>0</v>
      </c>
      <c r="G43" t="s">
        <v>65</v>
      </c>
      <c r="H43">
        <v>1.28</v>
      </c>
      <c r="I43" s="1">
        <f>F2-J43</f>
        <v>26.479199999999999</v>
      </c>
      <c r="J43">
        <f>IF($H$38*T2&lt;H43,$H$38*T2,H43)</f>
        <v>1.28</v>
      </c>
      <c r="M43">
        <v>933000</v>
      </c>
      <c r="N43">
        <v>40</v>
      </c>
    </row>
    <row r="44" spans="2:14">
      <c r="B44" t="s">
        <v>45</v>
      </c>
      <c r="C44">
        <v>0</v>
      </c>
      <c r="D44">
        <f t="shared" ref="D44:D54" si="20">W3-E44</f>
        <v>24.296000000000003</v>
      </c>
      <c r="E44">
        <f t="shared" ref="E44:E54" si="21">IF($C$37*W3&lt;$C$39,$C$37*W3,$C$39)</f>
        <v>0.3</v>
      </c>
      <c r="F44">
        <f t="shared" ref="F44:F54" si="22">IF($C$38*D44&lt;C44,$C$38*D44,C44)</f>
        <v>0</v>
      </c>
      <c r="G44" t="s">
        <v>45</v>
      </c>
      <c r="H44">
        <v>1.28</v>
      </c>
      <c r="I44" s="1">
        <f t="shared" ref="I44:I54" si="23">F3-J44</f>
        <v>44.877800000000001</v>
      </c>
      <c r="J44">
        <f t="shared" ref="J44:J54" si="24">IF($H$38*T3&lt;H44,$H$38*T3,H44)</f>
        <v>1.28</v>
      </c>
      <c r="M44">
        <v>934000</v>
      </c>
      <c r="N44">
        <v>45</v>
      </c>
    </row>
    <row r="45" spans="2:14">
      <c r="B45" t="s">
        <v>47</v>
      </c>
      <c r="C45">
        <v>0</v>
      </c>
      <c r="D45">
        <f t="shared" si="20"/>
        <v>12.105</v>
      </c>
      <c r="E45">
        <f t="shared" si="21"/>
        <v>0.3</v>
      </c>
      <c r="F45">
        <f t="shared" si="22"/>
        <v>0</v>
      </c>
      <c r="G45" t="s">
        <v>47</v>
      </c>
      <c r="H45">
        <v>1.28</v>
      </c>
      <c r="I45" s="1">
        <f t="shared" si="23"/>
        <v>34.886800000000001</v>
      </c>
      <c r="J45">
        <f t="shared" si="24"/>
        <v>1.28</v>
      </c>
      <c r="M45">
        <v>935000</v>
      </c>
      <c r="N45">
        <v>50</v>
      </c>
    </row>
    <row r="46" spans="2:14">
      <c r="B46" t="s">
        <v>49</v>
      </c>
      <c r="C46">
        <v>1.2000000000000002</v>
      </c>
      <c r="D46">
        <f t="shared" si="20"/>
        <v>5.3924999999999956</v>
      </c>
      <c r="E46">
        <f t="shared" si="21"/>
        <v>0.3</v>
      </c>
      <c r="F46">
        <f t="shared" si="22"/>
        <v>1.2000000000000002</v>
      </c>
      <c r="G46" t="s">
        <v>49</v>
      </c>
      <c r="H46">
        <v>1.28</v>
      </c>
      <c r="I46" s="1">
        <f t="shared" si="23"/>
        <v>25.050899999999999</v>
      </c>
      <c r="J46">
        <f t="shared" si="24"/>
        <v>1.28</v>
      </c>
      <c r="M46">
        <v>936000</v>
      </c>
      <c r="N46">
        <v>60</v>
      </c>
    </row>
    <row r="47" spans="2:14">
      <c r="B47" t="s">
        <v>50</v>
      </c>
      <c r="C47">
        <v>1.8000000000000003</v>
      </c>
      <c r="D47">
        <f t="shared" si="20"/>
        <v>2.669999999999999</v>
      </c>
      <c r="E47">
        <f t="shared" si="21"/>
        <v>0.3</v>
      </c>
      <c r="F47">
        <f t="shared" si="22"/>
        <v>1.8000000000000003</v>
      </c>
      <c r="G47" t="s">
        <v>50</v>
      </c>
      <c r="H47">
        <v>1.28</v>
      </c>
      <c r="I47" s="1">
        <f t="shared" si="23"/>
        <v>17.2408</v>
      </c>
      <c r="J47">
        <f t="shared" si="24"/>
        <v>1.28</v>
      </c>
      <c r="M47">
        <v>937000</v>
      </c>
      <c r="N47">
        <v>70</v>
      </c>
    </row>
    <row r="48" spans="2:14">
      <c r="B48" t="s">
        <v>51</v>
      </c>
      <c r="C48">
        <v>3.0000000000000004</v>
      </c>
      <c r="D48">
        <f t="shared" si="20"/>
        <v>2.2571999999999948</v>
      </c>
      <c r="E48">
        <f t="shared" si="21"/>
        <v>0.3</v>
      </c>
      <c r="F48">
        <f t="shared" si="22"/>
        <v>2.2571999999999948</v>
      </c>
      <c r="G48" t="s">
        <v>51</v>
      </c>
      <c r="H48">
        <v>1.28</v>
      </c>
      <c r="I48" s="1">
        <f t="shared" si="23"/>
        <v>14.445500000000001</v>
      </c>
      <c r="J48">
        <f t="shared" si="24"/>
        <v>1.28</v>
      </c>
      <c r="M48">
        <v>938000</v>
      </c>
      <c r="N48">
        <v>85</v>
      </c>
    </row>
    <row r="49" spans="1:14">
      <c r="B49" t="s">
        <v>52</v>
      </c>
      <c r="C49">
        <v>3.0000000000000004</v>
      </c>
      <c r="D49">
        <f t="shared" si="20"/>
        <v>2.0170999999999966</v>
      </c>
      <c r="E49">
        <f t="shared" si="21"/>
        <v>0.3</v>
      </c>
      <c r="F49">
        <f t="shared" si="22"/>
        <v>2.0170999999999966</v>
      </c>
      <c r="G49" t="s">
        <v>52</v>
      </c>
      <c r="H49">
        <v>1.28</v>
      </c>
      <c r="I49" s="1">
        <f t="shared" si="23"/>
        <v>11.835600000000001</v>
      </c>
      <c r="J49">
        <f t="shared" si="24"/>
        <v>1.28</v>
      </c>
      <c r="M49">
        <v>939000</v>
      </c>
      <c r="N49">
        <v>95</v>
      </c>
    </row>
    <row r="50" spans="1:14">
      <c r="B50" t="s">
        <v>74</v>
      </c>
      <c r="C50">
        <v>12.000000000000002</v>
      </c>
      <c r="D50">
        <f t="shared" si="20"/>
        <v>1.9419000000000011</v>
      </c>
      <c r="E50">
        <f t="shared" si="21"/>
        <v>0.3</v>
      </c>
      <c r="F50">
        <f t="shared" si="22"/>
        <v>1.9419000000000011</v>
      </c>
      <c r="G50" t="s">
        <v>74</v>
      </c>
      <c r="H50">
        <v>2.56</v>
      </c>
      <c r="I50" s="1">
        <f t="shared" si="23"/>
        <v>9.3866048516822094</v>
      </c>
      <c r="J50">
        <f t="shared" si="24"/>
        <v>2.10909514831779</v>
      </c>
      <c r="M50">
        <v>940000</v>
      </c>
      <c r="N50">
        <v>105</v>
      </c>
    </row>
    <row r="51" spans="1:14">
      <c r="B51" t="s">
        <v>54</v>
      </c>
      <c r="C51">
        <v>15.000000000000002</v>
      </c>
      <c r="D51">
        <f t="shared" si="20"/>
        <v>2.0930000000000009</v>
      </c>
      <c r="E51">
        <f t="shared" si="21"/>
        <v>0.3</v>
      </c>
      <c r="F51">
        <f t="shared" si="22"/>
        <v>2.0930000000000009</v>
      </c>
      <c r="G51" t="s">
        <v>54</v>
      </c>
      <c r="H51">
        <v>2.56</v>
      </c>
      <c r="I51" s="1">
        <f t="shared" si="23"/>
        <v>8.611961113346057</v>
      </c>
      <c r="J51">
        <f t="shared" si="24"/>
        <v>1.935038886653943</v>
      </c>
      <c r="M51">
        <v>941000</v>
      </c>
      <c r="N51">
        <v>125</v>
      </c>
    </row>
    <row r="52" spans="1:14">
      <c r="B52" t="s">
        <v>55</v>
      </c>
      <c r="C52">
        <v>12.000000000000002</v>
      </c>
      <c r="D52">
        <f t="shared" si="20"/>
        <v>2.0726999999999949</v>
      </c>
      <c r="E52">
        <f t="shared" si="21"/>
        <v>0.3</v>
      </c>
      <c r="F52">
        <f t="shared" si="22"/>
        <v>2.0726999999999949</v>
      </c>
      <c r="G52" t="s">
        <v>55</v>
      </c>
      <c r="H52">
        <v>2.56</v>
      </c>
      <c r="I52" s="1">
        <f t="shared" si="23"/>
        <v>7.6365240349717007</v>
      </c>
      <c r="J52">
        <f t="shared" si="24"/>
        <v>1.7158659650282988</v>
      </c>
      <c r="M52">
        <v>942000</v>
      </c>
      <c r="N52">
        <v>140</v>
      </c>
    </row>
    <row r="53" spans="1:14">
      <c r="B53" t="s">
        <v>56</v>
      </c>
      <c r="C53">
        <v>9.0000000000000018</v>
      </c>
      <c r="D53">
        <f t="shared" si="20"/>
        <v>2.3642000000000012</v>
      </c>
      <c r="E53">
        <f t="shared" si="21"/>
        <v>0.3</v>
      </c>
      <c r="F53">
        <f t="shared" si="22"/>
        <v>2.3642000000000012</v>
      </c>
      <c r="G53" t="s">
        <v>56</v>
      </c>
      <c r="H53">
        <v>1.28</v>
      </c>
      <c r="I53" s="1">
        <f t="shared" si="23"/>
        <v>8.227030000000001</v>
      </c>
      <c r="J53">
        <f t="shared" si="24"/>
        <v>1.28</v>
      </c>
      <c r="M53">
        <v>943000</v>
      </c>
      <c r="N53">
        <v>160</v>
      </c>
    </row>
    <row r="54" spans="1:14">
      <c r="B54" t="s">
        <v>75</v>
      </c>
      <c r="C54">
        <v>3.0000000000000004</v>
      </c>
      <c r="D54">
        <f t="shared" si="20"/>
        <v>3.8751000000000007</v>
      </c>
      <c r="E54">
        <f t="shared" si="21"/>
        <v>0.3</v>
      </c>
      <c r="F54">
        <f t="shared" si="22"/>
        <v>3.0000000000000004</v>
      </c>
      <c r="G54" t="s">
        <v>75</v>
      </c>
      <c r="H54">
        <v>1.28</v>
      </c>
      <c r="I54" s="1">
        <f t="shared" si="23"/>
        <v>10.836600000000001</v>
      </c>
      <c r="J54">
        <f t="shared" si="24"/>
        <v>1.28</v>
      </c>
      <c r="M54">
        <v>944000</v>
      </c>
      <c r="N54">
        <v>185</v>
      </c>
    </row>
    <row r="55" spans="1:14">
      <c r="B55" s="2" t="s">
        <v>8</v>
      </c>
      <c r="C55">
        <f>AVERAGE(C43:C54)</f>
        <v>5.0000000000000009</v>
      </c>
      <c r="D55" t="s">
        <v>67</v>
      </c>
      <c r="E55" s="7">
        <f>AVERAGE(E43:E54)</f>
        <v>0.29999999999999993</v>
      </c>
      <c r="F55" s="7">
        <f>AVERAGE(F43:F54)</f>
        <v>1.562174999999999</v>
      </c>
      <c r="G55" s="2" t="s">
        <v>8</v>
      </c>
      <c r="H55">
        <f>AVERAGE(H43:H54)</f>
        <v>1.6000000000000003</v>
      </c>
      <c r="I55" t="s">
        <v>67</v>
      </c>
      <c r="J55" s="7">
        <f>AVERAGE(J43:J54)</f>
        <v>1.4400000000000028</v>
      </c>
      <c r="M55">
        <v>945000</v>
      </c>
      <c r="N55">
        <v>210</v>
      </c>
    </row>
    <row r="56" spans="1:14">
      <c r="M56">
        <v>947000</v>
      </c>
      <c r="N56">
        <v>260</v>
      </c>
    </row>
    <row r="57" spans="1:14">
      <c r="M57">
        <v>950000</v>
      </c>
      <c r="N57">
        <v>350</v>
      </c>
    </row>
    <row r="58" spans="1:14">
      <c r="M58">
        <v>952000</v>
      </c>
      <c r="N58">
        <v>400</v>
      </c>
    </row>
    <row r="64" spans="1:14">
      <c r="A64" t="s">
        <v>8</v>
      </c>
    </row>
    <row r="65" spans="1:9">
      <c r="A65" t="s">
        <v>33</v>
      </c>
      <c r="B65" t="s">
        <v>34</v>
      </c>
      <c r="C65" t="s">
        <v>35</v>
      </c>
      <c r="D65" t="s">
        <v>36</v>
      </c>
      <c r="E65" t="s">
        <v>37</v>
      </c>
      <c r="F65" t="s">
        <v>31</v>
      </c>
      <c r="G65" t="s">
        <v>38</v>
      </c>
      <c r="H65" t="s">
        <v>39</v>
      </c>
      <c r="I65" t="s">
        <v>40</v>
      </c>
    </row>
    <row r="66" spans="1:9">
      <c r="A66" t="s">
        <v>44</v>
      </c>
      <c r="B66" s="4">
        <v>528.35500000000002</v>
      </c>
      <c r="C66" s="5"/>
      <c r="D66" s="4">
        <v>13.3809</v>
      </c>
      <c r="E66" s="4">
        <v>41.798900000000003</v>
      </c>
      <c r="F66" s="4">
        <v>27.7592</v>
      </c>
      <c r="G66" s="4">
        <v>95.673900000000003</v>
      </c>
      <c r="H66" s="4">
        <v>103.857</v>
      </c>
      <c r="I66" s="4">
        <v>116.443</v>
      </c>
    </row>
    <row r="67" spans="1:9">
      <c r="A67" t="s">
        <v>45</v>
      </c>
      <c r="B67" s="4">
        <v>821.51900000000001</v>
      </c>
      <c r="C67" s="5"/>
      <c r="D67" s="4">
        <v>19.8917</v>
      </c>
      <c r="E67" s="4">
        <v>63.030799999999999</v>
      </c>
      <c r="F67" s="4">
        <v>46.157800000000002</v>
      </c>
      <c r="G67" s="4">
        <v>142.71199999999999</v>
      </c>
      <c r="H67" s="4">
        <v>156.708</v>
      </c>
      <c r="I67" s="4">
        <v>181.304</v>
      </c>
    </row>
    <row r="68" spans="1:9">
      <c r="A68" t="s">
        <v>47</v>
      </c>
      <c r="B68" s="4">
        <v>567.37199999999996</v>
      </c>
      <c r="C68" s="5"/>
      <c r="D68" s="4">
        <v>29.448</v>
      </c>
      <c r="E68" s="4">
        <v>55.920999999999999</v>
      </c>
      <c r="F68" s="4">
        <v>36.166800000000002</v>
      </c>
      <c r="G68" s="4">
        <v>113.505</v>
      </c>
      <c r="H68" s="4">
        <v>119.44</v>
      </c>
      <c r="I68" s="4">
        <v>131.845</v>
      </c>
    </row>
    <row r="69" spans="1:9">
      <c r="A69" t="s">
        <v>49</v>
      </c>
      <c r="B69" s="4">
        <v>327.12200000000001</v>
      </c>
      <c r="C69" s="5"/>
      <c r="D69" s="4">
        <v>35.880899999999997</v>
      </c>
      <c r="E69" s="4">
        <v>50.555700000000002</v>
      </c>
      <c r="F69" s="4">
        <v>26.3309</v>
      </c>
      <c r="G69" s="4">
        <v>88.379000000000005</v>
      </c>
      <c r="H69" s="4">
        <v>91.227400000000003</v>
      </c>
      <c r="I69" s="4">
        <v>96.919899999999998</v>
      </c>
    </row>
    <row r="70" spans="1:9">
      <c r="A70" t="s">
        <v>50</v>
      </c>
      <c r="B70" s="4">
        <v>179.215</v>
      </c>
      <c r="C70" s="5"/>
      <c r="D70" s="4">
        <v>36.430700000000002</v>
      </c>
      <c r="E70" s="4">
        <v>44.510399999999997</v>
      </c>
      <c r="F70" s="4">
        <v>18.520800000000001</v>
      </c>
      <c r="G70" s="4">
        <v>69.569599999999994</v>
      </c>
      <c r="H70" s="4">
        <v>71.173699999999997</v>
      </c>
      <c r="I70" s="4">
        <v>74.143699999999995</v>
      </c>
    </row>
    <row r="71" spans="1:9">
      <c r="A71" t="s">
        <v>51</v>
      </c>
      <c r="B71" s="4">
        <v>120.482</v>
      </c>
      <c r="C71" s="5"/>
      <c r="D71" s="4">
        <v>33.486600000000003</v>
      </c>
      <c r="E71" s="4">
        <v>39.878399999999999</v>
      </c>
      <c r="F71" s="4">
        <v>15.7255</v>
      </c>
      <c r="G71" s="4">
        <v>61.0792</v>
      </c>
      <c r="H71" s="4">
        <v>62.493200000000002</v>
      </c>
      <c r="I71" s="4">
        <v>65.050399999999996</v>
      </c>
    </row>
    <row r="72" spans="1:9">
      <c r="A72" t="s">
        <v>52</v>
      </c>
      <c r="B72" s="4">
        <v>89.797899999999998</v>
      </c>
      <c r="C72" s="5"/>
      <c r="D72" s="4">
        <v>29.7746</v>
      </c>
      <c r="E72" s="4">
        <v>35.161200000000001</v>
      </c>
      <c r="F72" s="4">
        <v>13.115600000000001</v>
      </c>
      <c r="G72" s="4">
        <v>52.941200000000002</v>
      </c>
      <c r="H72" s="4">
        <v>54.207500000000003</v>
      </c>
      <c r="I72" s="4">
        <v>56.5246</v>
      </c>
    </row>
    <row r="73" spans="1:9">
      <c r="A73" t="s">
        <v>53</v>
      </c>
      <c r="B73" s="4">
        <v>75.158799999999999</v>
      </c>
      <c r="C73" s="5"/>
      <c r="D73" s="4">
        <v>25.578700000000001</v>
      </c>
      <c r="E73" s="4">
        <v>30.445499999999999</v>
      </c>
      <c r="F73" s="4">
        <v>11.495699999999999</v>
      </c>
      <c r="G73" s="4">
        <v>46.118299999999998</v>
      </c>
      <c r="H73" s="4">
        <v>47.324199999999998</v>
      </c>
      <c r="I73" s="4">
        <v>49.566099999999999</v>
      </c>
    </row>
    <row r="74" spans="1:9">
      <c r="A74" t="s">
        <v>54</v>
      </c>
      <c r="B74" s="4">
        <v>73.011399999999995</v>
      </c>
      <c r="C74" s="5"/>
      <c r="D74" s="4">
        <v>20.790600000000001</v>
      </c>
      <c r="E74" s="4">
        <v>25.565899999999999</v>
      </c>
      <c r="F74" s="4">
        <v>10.547000000000001</v>
      </c>
      <c r="G74" s="4">
        <v>40.276200000000003</v>
      </c>
      <c r="H74" s="4">
        <v>41.569600000000001</v>
      </c>
      <c r="I74" s="4">
        <v>43.962600000000002</v>
      </c>
    </row>
    <row r="75" spans="1:9">
      <c r="A75" t="s">
        <v>55</v>
      </c>
      <c r="B75" s="4">
        <v>79.421599999999998</v>
      </c>
      <c r="C75" s="5"/>
      <c r="D75" s="4">
        <v>17.0276</v>
      </c>
      <c r="E75" s="4">
        <v>21.734100000000002</v>
      </c>
      <c r="F75" s="4">
        <v>9.3523899999999998</v>
      </c>
      <c r="G75" s="4">
        <v>35.066099999999999</v>
      </c>
      <c r="H75" s="4">
        <v>36.367600000000003</v>
      </c>
      <c r="I75" s="4">
        <v>38.740299999999998</v>
      </c>
    </row>
    <row r="76" spans="1:9">
      <c r="A76" t="s">
        <v>56</v>
      </c>
      <c r="B76" s="4">
        <v>102.04900000000001</v>
      </c>
      <c r="C76" s="5"/>
      <c r="D76" s="4">
        <v>14.1388</v>
      </c>
      <c r="E76" s="4">
        <v>19.651700000000002</v>
      </c>
      <c r="F76" s="4">
        <v>9.5070300000000003</v>
      </c>
      <c r="G76" s="4">
        <v>34.004300000000001</v>
      </c>
      <c r="H76" s="4">
        <v>35.4373</v>
      </c>
      <c r="I76" s="4">
        <v>38.101500000000001</v>
      </c>
    </row>
    <row r="77" spans="1:9">
      <c r="A77" t="s">
        <v>58</v>
      </c>
      <c r="B77" s="4">
        <v>173.21799999999999</v>
      </c>
      <c r="C77" s="5"/>
      <c r="D77" s="4">
        <v>12.3767</v>
      </c>
      <c r="E77" s="4">
        <v>21.438099999999999</v>
      </c>
      <c r="F77" s="4">
        <v>12.1166</v>
      </c>
      <c r="G77" s="4">
        <v>43.451900000000002</v>
      </c>
      <c r="H77" s="4">
        <v>45.721800000000002</v>
      </c>
      <c r="I77" s="4">
        <v>49.896900000000002</v>
      </c>
    </row>
    <row r="79" spans="1:9">
      <c r="A79" t="s">
        <v>46</v>
      </c>
    </row>
    <row r="80" spans="1:9">
      <c r="A80" t="s">
        <v>33</v>
      </c>
      <c r="B80" t="s">
        <v>34</v>
      </c>
      <c r="C80" t="s">
        <v>35</v>
      </c>
      <c r="D80" t="s">
        <v>36</v>
      </c>
      <c r="E80" t="s">
        <v>37</v>
      </c>
      <c r="F80" t="s">
        <v>31</v>
      </c>
      <c r="G80" t="s">
        <v>38</v>
      </c>
      <c r="H80" t="s">
        <v>39</v>
      </c>
      <c r="I80" t="s">
        <v>40</v>
      </c>
    </row>
    <row r="81" spans="1:9">
      <c r="A81" t="s">
        <v>44</v>
      </c>
      <c r="B81" s="4">
        <f>0.75*B66</f>
        <v>396.26625000000001</v>
      </c>
      <c r="C81" s="5"/>
      <c r="D81" s="4">
        <f t="shared" ref="D81:I92" si="25">0.75*D66</f>
        <v>10.035675000000001</v>
      </c>
      <c r="E81" s="4">
        <f t="shared" si="25"/>
        <v>31.349175000000002</v>
      </c>
      <c r="F81" s="4">
        <f t="shared" si="25"/>
        <v>20.819400000000002</v>
      </c>
      <c r="G81" s="4">
        <f t="shared" si="25"/>
        <v>71.755425000000002</v>
      </c>
      <c r="H81" s="4">
        <f t="shared" si="25"/>
        <v>77.892750000000007</v>
      </c>
      <c r="I81" s="4">
        <f t="shared" si="25"/>
        <v>87.332250000000002</v>
      </c>
    </row>
    <row r="82" spans="1:9">
      <c r="A82" t="s">
        <v>45</v>
      </c>
      <c r="B82" s="4">
        <f t="shared" ref="B82:B92" si="26">0.75*B67</f>
        <v>616.13924999999995</v>
      </c>
      <c r="C82" s="5"/>
      <c r="D82" s="4">
        <f t="shared" si="25"/>
        <v>14.918775</v>
      </c>
      <c r="E82" s="4">
        <f t="shared" si="25"/>
        <v>47.273099999999999</v>
      </c>
      <c r="F82" s="4">
        <f t="shared" si="25"/>
        <v>34.61835</v>
      </c>
      <c r="G82" s="4">
        <f t="shared" si="25"/>
        <v>107.03399999999999</v>
      </c>
      <c r="H82" s="4">
        <f t="shared" si="25"/>
        <v>117.53100000000001</v>
      </c>
      <c r="I82" s="4">
        <f t="shared" si="25"/>
        <v>135.97800000000001</v>
      </c>
    </row>
    <row r="83" spans="1:9">
      <c r="A83" t="s">
        <v>47</v>
      </c>
      <c r="B83" s="4">
        <f t="shared" si="26"/>
        <v>425.529</v>
      </c>
      <c r="C83" s="5"/>
      <c r="D83" s="4">
        <f t="shared" si="25"/>
        <v>22.085999999999999</v>
      </c>
      <c r="E83" s="4">
        <f t="shared" si="25"/>
        <v>41.940750000000001</v>
      </c>
      <c r="F83" s="4">
        <f t="shared" si="25"/>
        <v>27.125100000000003</v>
      </c>
      <c r="G83" s="4">
        <f t="shared" si="25"/>
        <v>85.128749999999997</v>
      </c>
      <c r="H83" s="4">
        <f t="shared" si="25"/>
        <v>89.58</v>
      </c>
      <c r="I83" s="4">
        <f t="shared" si="25"/>
        <v>98.883749999999992</v>
      </c>
    </row>
    <row r="84" spans="1:9">
      <c r="A84" t="s">
        <v>49</v>
      </c>
      <c r="B84" s="4">
        <f t="shared" si="26"/>
        <v>245.3415</v>
      </c>
      <c r="C84" s="5"/>
      <c r="D84" s="4">
        <f t="shared" si="25"/>
        <v>26.910674999999998</v>
      </c>
      <c r="E84" s="4">
        <f t="shared" si="25"/>
        <v>37.916775000000001</v>
      </c>
      <c r="F84" s="4">
        <f t="shared" si="25"/>
        <v>19.748175</v>
      </c>
      <c r="G84" s="4">
        <f t="shared" si="25"/>
        <v>66.28425</v>
      </c>
      <c r="H84" s="4">
        <f t="shared" si="25"/>
        <v>68.420550000000006</v>
      </c>
      <c r="I84" s="4">
        <f t="shared" si="25"/>
        <v>72.689925000000002</v>
      </c>
    </row>
    <row r="85" spans="1:9">
      <c r="A85" t="s">
        <v>50</v>
      </c>
      <c r="B85" s="4">
        <f t="shared" si="26"/>
        <v>134.41125</v>
      </c>
      <c r="C85" s="5"/>
      <c r="D85" s="4">
        <f t="shared" si="25"/>
        <v>27.323025000000001</v>
      </c>
      <c r="E85" s="4">
        <f t="shared" si="25"/>
        <v>33.382799999999996</v>
      </c>
      <c r="F85" s="4">
        <f t="shared" si="25"/>
        <v>13.890600000000001</v>
      </c>
      <c r="G85" s="4">
        <f t="shared" si="25"/>
        <v>52.177199999999999</v>
      </c>
      <c r="H85" s="4">
        <f t="shared" si="25"/>
        <v>53.380274999999997</v>
      </c>
      <c r="I85" s="4">
        <f t="shared" si="25"/>
        <v>55.607774999999997</v>
      </c>
    </row>
    <row r="86" spans="1:9">
      <c r="A86" t="s">
        <v>51</v>
      </c>
      <c r="B86" s="4">
        <f t="shared" si="26"/>
        <v>90.361500000000007</v>
      </c>
      <c r="C86" s="5"/>
      <c r="D86" s="4">
        <f t="shared" si="25"/>
        <v>25.11495</v>
      </c>
      <c r="E86" s="4">
        <f t="shared" si="25"/>
        <v>29.908799999999999</v>
      </c>
      <c r="F86" s="4">
        <f t="shared" si="25"/>
        <v>11.794125000000001</v>
      </c>
      <c r="G86" s="4">
        <f t="shared" si="25"/>
        <v>45.809399999999997</v>
      </c>
      <c r="H86" s="4">
        <f t="shared" si="25"/>
        <v>46.869900000000001</v>
      </c>
      <c r="I86" s="4">
        <f t="shared" si="25"/>
        <v>48.787799999999997</v>
      </c>
    </row>
    <row r="87" spans="1:9">
      <c r="A87" t="s">
        <v>52</v>
      </c>
      <c r="B87" s="4">
        <f t="shared" si="26"/>
        <v>67.348424999999992</v>
      </c>
      <c r="C87" s="5"/>
      <c r="D87" s="4">
        <f t="shared" si="25"/>
        <v>22.330950000000001</v>
      </c>
      <c r="E87" s="4">
        <f t="shared" si="25"/>
        <v>26.370899999999999</v>
      </c>
      <c r="F87" s="4">
        <f t="shared" si="25"/>
        <v>9.8367000000000004</v>
      </c>
      <c r="G87" s="4">
        <f t="shared" si="25"/>
        <v>39.7059</v>
      </c>
      <c r="H87" s="4">
        <f t="shared" si="25"/>
        <v>40.655625000000001</v>
      </c>
      <c r="I87" s="4">
        <f t="shared" si="25"/>
        <v>42.393450000000001</v>
      </c>
    </row>
    <row r="88" spans="1:9">
      <c r="A88" t="s">
        <v>53</v>
      </c>
      <c r="B88" s="4">
        <f t="shared" si="26"/>
        <v>56.369100000000003</v>
      </c>
      <c r="C88" s="5"/>
      <c r="D88" s="4">
        <f t="shared" si="25"/>
        <v>19.184025000000002</v>
      </c>
      <c r="E88" s="4">
        <f t="shared" si="25"/>
        <v>22.834125</v>
      </c>
      <c r="F88" s="4">
        <f t="shared" si="25"/>
        <v>8.6217749999999995</v>
      </c>
      <c r="G88" s="4">
        <f t="shared" si="25"/>
        <v>34.588724999999997</v>
      </c>
      <c r="H88" s="4">
        <f t="shared" si="25"/>
        <v>35.49315</v>
      </c>
      <c r="I88" s="4">
        <f t="shared" si="25"/>
        <v>37.174574999999997</v>
      </c>
    </row>
    <row r="89" spans="1:9">
      <c r="A89" t="s">
        <v>54</v>
      </c>
      <c r="B89" s="4">
        <f t="shared" si="26"/>
        <v>54.75855</v>
      </c>
      <c r="C89" s="5"/>
      <c r="D89" s="4">
        <f t="shared" si="25"/>
        <v>15.592950000000002</v>
      </c>
      <c r="E89" s="4">
        <f t="shared" si="25"/>
        <v>19.174424999999999</v>
      </c>
      <c r="F89" s="4">
        <f t="shared" si="25"/>
        <v>7.9102500000000004</v>
      </c>
      <c r="G89" s="4">
        <f t="shared" si="25"/>
        <v>30.207150000000002</v>
      </c>
      <c r="H89" s="4">
        <f t="shared" si="25"/>
        <v>31.177199999999999</v>
      </c>
      <c r="I89" s="4">
        <f t="shared" si="25"/>
        <v>32.97195</v>
      </c>
    </row>
    <row r="90" spans="1:9">
      <c r="A90" t="s">
        <v>55</v>
      </c>
      <c r="B90" s="4">
        <f t="shared" si="26"/>
        <v>59.566199999999995</v>
      </c>
      <c r="C90" s="5"/>
      <c r="D90" s="4">
        <f t="shared" si="25"/>
        <v>12.7707</v>
      </c>
      <c r="E90" s="4">
        <f t="shared" si="25"/>
        <v>16.300575000000002</v>
      </c>
      <c r="F90" s="4">
        <f t="shared" si="25"/>
        <v>7.0142924999999998</v>
      </c>
      <c r="G90" s="4">
        <f t="shared" si="25"/>
        <v>26.299574999999997</v>
      </c>
      <c r="H90" s="4">
        <f t="shared" si="25"/>
        <v>27.275700000000001</v>
      </c>
      <c r="I90" s="4">
        <f t="shared" si="25"/>
        <v>29.055225</v>
      </c>
    </row>
    <row r="91" spans="1:9">
      <c r="A91" t="s">
        <v>56</v>
      </c>
      <c r="B91" s="4">
        <f t="shared" si="26"/>
        <v>76.536750000000012</v>
      </c>
      <c r="C91" s="5"/>
      <c r="D91" s="4">
        <f t="shared" si="25"/>
        <v>10.604099999999999</v>
      </c>
      <c r="E91" s="4">
        <f t="shared" si="25"/>
        <v>14.738775</v>
      </c>
      <c r="F91" s="4">
        <f t="shared" si="25"/>
        <v>7.1302725000000002</v>
      </c>
      <c r="G91" s="4">
        <f t="shared" si="25"/>
        <v>25.503225</v>
      </c>
      <c r="H91" s="4">
        <f t="shared" si="25"/>
        <v>26.577975000000002</v>
      </c>
      <c r="I91" s="4">
        <f t="shared" si="25"/>
        <v>28.576125000000001</v>
      </c>
    </row>
    <row r="92" spans="1:9">
      <c r="A92" t="s">
        <v>58</v>
      </c>
      <c r="B92" s="4">
        <f t="shared" si="26"/>
        <v>129.9135</v>
      </c>
      <c r="C92" s="5"/>
      <c r="D92" s="4">
        <f t="shared" si="25"/>
        <v>9.2825249999999997</v>
      </c>
      <c r="E92" s="4">
        <f t="shared" si="25"/>
        <v>16.078575000000001</v>
      </c>
      <c r="F92" s="4">
        <f t="shared" si="25"/>
        <v>9.0874500000000005</v>
      </c>
      <c r="G92" s="4">
        <f t="shared" si="25"/>
        <v>32.588925000000003</v>
      </c>
      <c r="H92" s="4">
        <f t="shared" si="25"/>
        <v>34.291350000000001</v>
      </c>
      <c r="I92" s="4">
        <f t="shared" si="25"/>
        <v>37.422674999999998</v>
      </c>
    </row>
    <row r="94" spans="1:9">
      <c r="A94" t="s">
        <v>48</v>
      </c>
    </row>
    <row r="95" spans="1:9">
      <c r="A95" t="s">
        <v>33</v>
      </c>
      <c r="B95" t="s">
        <v>34</v>
      </c>
      <c r="C95" t="s">
        <v>35</v>
      </c>
      <c r="D95" t="s">
        <v>36</v>
      </c>
      <c r="E95" t="s">
        <v>37</v>
      </c>
      <c r="F95" t="s">
        <v>31</v>
      </c>
      <c r="G95" t="s">
        <v>38</v>
      </c>
      <c r="H95" t="s">
        <v>39</v>
      </c>
      <c r="I95" t="s">
        <v>40</v>
      </c>
    </row>
    <row r="96" spans="1:9">
      <c r="A96" t="s">
        <v>44</v>
      </c>
      <c r="B96" s="4">
        <f>0.65*B66</f>
        <v>343.43075000000005</v>
      </c>
      <c r="C96" s="5"/>
      <c r="D96" s="4">
        <f t="shared" ref="D96:I107" si="27">0.65*D66</f>
        <v>8.6975850000000001</v>
      </c>
      <c r="E96" s="4">
        <f t="shared" si="27"/>
        <v>27.169285000000002</v>
      </c>
      <c r="F96" s="4">
        <f t="shared" si="27"/>
        <v>18.043479999999999</v>
      </c>
      <c r="G96" s="4">
        <f t="shared" si="27"/>
        <v>62.188035000000006</v>
      </c>
      <c r="H96" s="4">
        <f t="shared" si="27"/>
        <v>67.507050000000007</v>
      </c>
      <c r="I96" s="4">
        <f t="shared" si="27"/>
        <v>75.687950000000001</v>
      </c>
    </row>
    <row r="97" spans="1:9">
      <c r="A97" t="s">
        <v>45</v>
      </c>
      <c r="B97" s="4">
        <f t="shared" ref="B97:B107" si="28">0.65*B67</f>
        <v>533.98734999999999</v>
      </c>
      <c r="C97" s="5"/>
      <c r="D97" s="4">
        <f t="shared" si="27"/>
        <v>12.929605</v>
      </c>
      <c r="E97" s="4">
        <f t="shared" si="27"/>
        <v>40.970019999999998</v>
      </c>
      <c r="F97" s="4">
        <f t="shared" si="27"/>
        <v>30.002570000000002</v>
      </c>
      <c r="G97" s="4">
        <f t="shared" si="27"/>
        <v>92.762799999999999</v>
      </c>
      <c r="H97" s="4">
        <f t="shared" si="27"/>
        <v>101.86020000000001</v>
      </c>
      <c r="I97" s="4">
        <f t="shared" si="27"/>
        <v>117.8476</v>
      </c>
    </row>
    <row r="98" spans="1:9">
      <c r="A98" t="s">
        <v>47</v>
      </c>
      <c r="B98" s="4">
        <f t="shared" si="28"/>
        <v>368.79179999999997</v>
      </c>
      <c r="C98" s="5"/>
      <c r="D98" s="4">
        <f t="shared" si="27"/>
        <v>19.141200000000001</v>
      </c>
      <c r="E98" s="4">
        <f t="shared" si="27"/>
        <v>36.348649999999999</v>
      </c>
      <c r="F98" s="4">
        <f t="shared" si="27"/>
        <v>23.508420000000001</v>
      </c>
      <c r="G98" s="4">
        <f t="shared" si="27"/>
        <v>73.77825</v>
      </c>
      <c r="H98" s="4">
        <f t="shared" si="27"/>
        <v>77.635999999999996</v>
      </c>
      <c r="I98" s="4">
        <f t="shared" si="27"/>
        <v>85.699250000000006</v>
      </c>
    </row>
    <row r="99" spans="1:9">
      <c r="A99" t="s">
        <v>49</v>
      </c>
      <c r="B99" s="4">
        <f t="shared" si="28"/>
        <v>212.62930000000003</v>
      </c>
      <c r="C99" s="5"/>
      <c r="D99" s="4">
        <f t="shared" si="27"/>
        <v>23.322585</v>
      </c>
      <c r="E99" s="4">
        <f t="shared" si="27"/>
        <v>32.861205000000005</v>
      </c>
      <c r="F99" s="4">
        <f t="shared" si="27"/>
        <v>17.115085000000001</v>
      </c>
      <c r="G99" s="4">
        <f t="shared" si="27"/>
        <v>57.446350000000002</v>
      </c>
      <c r="H99" s="4">
        <f t="shared" si="27"/>
        <v>59.297810000000005</v>
      </c>
      <c r="I99" s="4">
        <f t="shared" si="27"/>
        <v>62.997934999999998</v>
      </c>
    </row>
    <row r="100" spans="1:9">
      <c r="A100" t="s">
        <v>50</v>
      </c>
      <c r="B100" s="4">
        <f t="shared" si="28"/>
        <v>116.48975</v>
      </c>
      <c r="C100" s="5"/>
      <c r="D100" s="4">
        <f t="shared" si="27"/>
        <v>23.679955000000003</v>
      </c>
      <c r="E100" s="4">
        <f t="shared" si="27"/>
        <v>28.931760000000001</v>
      </c>
      <c r="F100" s="4">
        <f t="shared" si="27"/>
        <v>12.038520000000002</v>
      </c>
      <c r="G100" s="4">
        <f t="shared" si="27"/>
        <v>45.220239999999997</v>
      </c>
      <c r="H100" s="4">
        <f t="shared" si="27"/>
        <v>46.262904999999996</v>
      </c>
      <c r="I100" s="4">
        <f t="shared" si="27"/>
        <v>48.193404999999998</v>
      </c>
    </row>
    <row r="101" spans="1:9">
      <c r="A101" t="s">
        <v>51</v>
      </c>
      <c r="B101" s="4">
        <f t="shared" si="28"/>
        <v>78.313299999999998</v>
      </c>
      <c r="C101" s="5"/>
      <c r="D101" s="4">
        <f t="shared" si="27"/>
        <v>21.766290000000001</v>
      </c>
      <c r="E101" s="4">
        <f t="shared" si="27"/>
        <v>25.920960000000001</v>
      </c>
      <c r="F101" s="4">
        <f t="shared" si="27"/>
        <v>10.221575</v>
      </c>
      <c r="G101" s="4">
        <f t="shared" si="27"/>
        <v>39.701480000000004</v>
      </c>
      <c r="H101" s="4">
        <f t="shared" si="27"/>
        <v>40.620580000000004</v>
      </c>
      <c r="I101" s="4">
        <f t="shared" si="27"/>
        <v>42.282759999999996</v>
      </c>
    </row>
    <row r="102" spans="1:9">
      <c r="A102" t="s">
        <v>52</v>
      </c>
      <c r="B102" s="4">
        <f t="shared" si="28"/>
        <v>58.368634999999998</v>
      </c>
      <c r="C102" s="5"/>
      <c r="D102" s="4">
        <f t="shared" si="27"/>
        <v>19.353490000000001</v>
      </c>
      <c r="E102" s="4">
        <f t="shared" si="27"/>
        <v>22.854780000000002</v>
      </c>
      <c r="F102" s="4">
        <f t="shared" si="27"/>
        <v>8.5251400000000004</v>
      </c>
      <c r="G102" s="4">
        <f t="shared" si="27"/>
        <v>34.41178</v>
      </c>
      <c r="H102" s="4">
        <f t="shared" si="27"/>
        <v>35.234875000000002</v>
      </c>
      <c r="I102" s="4">
        <f t="shared" si="27"/>
        <v>36.740990000000004</v>
      </c>
    </row>
    <row r="103" spans="1:9">
      <c r="A103" t="s">
        <v>53</v>
      </c>
      <c r="B103" s="4">
        <f t="shared" si="28"/>
        <v>48.85322</v>
      </c>
      <c r="C103" s="5"/>
      <c r="D103" s="4">
        <f t="shared" si="27"/>
        <v>16.626155000000001</v>
      </c>
      <c r="E103" s="4">
        <f t="shared" si="27"/>
        <v>19.789574999999999</v>
      </c>
      <c r="F103" s="4">
        <f t="shared" si="27"/>
        <v>7.4722049999999998</v>
      </c>
      <c r="G103" s="4">
        <f t="shared" si="27"/>
        <v>29.976894999999999</v>
      </c>
      <c r="H103" s="4">
        <f t="shared" si="27"/>
        <v>30.760729999999999</v>
      </c>
      <c r="I103" s="4">
        <f t="shared" si="27"/>
        <v>32.217965</v>
      </c>
    </row>
    <row r="104" spans="1:9">
      <c r="A104" t="s">
        <v>54</v>
      </c>
      <c r="B104" s="4">
        <f t="shared" si="28"/>
        <v>47.457409999999996</v>
      </c>
      <c r="C104" s="5"/>
      <c r="D104" s="4">
        <f t="shared" si="27"/>
        <v>13.513890000000002</v>
      </c>
      <c r="E104" s="4">
        <f t="shared" si="27"/>
        <v>16.617834999999999</v>
      </c>
      <c r="F104" s="4">
        <f t="shared" si="27"/>
        <v>6.8555500000000009</v>
      </c>
      <c r="G104" s="4">
        <f t="shared" si="27"/>
        <v>26.179530000000003</v>
      </c>
      <c r="H104" s="4">
        <f t="shared" si="27"/>
        <v>27.020240000000001</v>
      </c>
      <c r="I104" s="4">
        <f t="shared" si="27"/>
        <v>28.575690000000002</v>
      </c>
    </row>
    <row r="105" spans="1:9">
      <c r="A105" t="s">
        <v>55</v>
      </c>
      <c r="B105" s="4">
        <f t="shared" si="28"/>
        <v>51.624040000000001</v>
      </c>
      <c r="C105" s="5"/>
      <c r="D105" s="4">
        <f t="shared" si="27"/>
        <v>11.06794</v>
      </c>
      <c r="E105" s="4">
        <f t="shared" si="27"/>
        <v>14.127165000000002</v>
      </c>
      <c r="F105" s="4">
        <f t="shared" si="27"/>
        <v>6.0790534999999997</v>
      </c>
      <c r="G105" s="4">
        <f t="shared" si="27"/>
        <v>22.792964999999999</v>
      </c>
      <c r="H105" s="4">
        <f t="shared" si="27"/>
        <v>23.638940000000002</v>
      </c>
      <c r="I105" s="4">
        <f t="shared" si="27"/>
        <v>25.181194999999999</v>
      </c>
    </row>
    <row r="106" spans="1:9">
      <c r="A106" t="s">
        <v>56</v>
      </c>
      <c r="B106" s="4">
        <f t="shared" si="28"/>
        <v>66.331850000000003</v>
      </c>
      <c r="C106" s="5"/>
      <c r="D106" s="4">
        <f t="shared" si="27"/>
        <v>9.1902200000000001</v>
      </c>
      <c r="E106" s="4">
        <f t="shared" si="27"/>
        <v>12.773605000000002</v>
      </c>
      <c r="F106" s="4">
        <f t="shared" si="27"/>
        <v>6.1795695000000004</v>
      </c>
      <c r="G106" s="4">
        <f t="shared" si="27"/>
        <v>22.102795</v>
      </c>
      <c r="H106" s="4">
        <f t="shared" si="27"/>
        <v>23.034245000000002</v>
      </c>
      <c r="I106" s="4">
        <f t="shared" si="27"/>
        <v>24.765975000000001</v>
      </c>
    </row>
    <row r="107" spans="1:9">
      <c r="A107" t="s">
        <v>58</v>
      </c>
      <c r="B107" s="4">
        <f t="shared" si="28"/>
        <v>112.5917</v>
      </c>
      <c r="C107" s="5"/>
      <c r="D107" s="4">
        <f t="shared" si="27"/>
        <v>8.0448550000000001</v>
      </c>
      <c r="E107" s="4">
        <f t="shared" si="27"/>
        <v>13.934764999999999</v>
      </c>
      <c r="F107" s="4">
        <f t="shared" si="27"/>
        <v>7.8757900000000003</v>
      </c>
      <c r="G107" s="4">
        <f t="shared" si="27"/>
        <v>28.243735000000001</v>
      </c>
      <c r="H107" s="4">
        <f t="shared" si="27"/>
        <v>29.719170000000002</v>
      </c>
      <c r="I107" s="4">
        <f t="shared" si="27"/>
        <v>32.432985000000002</v>
      </c>
    </row>
  </sheetData>
  <phoneticPr fontId="3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7fbe7d-7135-4d0c-b596-d06cdf264ec5" xsi:nil="true"/>
    <lcf76f155ced4ddcb4097134ff3c332f xmlns="522cabfc-c23e-4534-bc67-c569f3b3b8a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01C65E86522E49B4431E4025AB76F7" ma:contentTypeVersion="18" ma:contentTypeDescription="Skapa ett nytt dokument." ma:contentTypeScope="" ma:versionID="2ce95382c4bafb9acdeef82babc29576">
  <xsd:schema xmlns:xsd="http://www.w3.org/2001/XMLSchema" xmlns:xs="http://www.w3.org/2001/XMLSchema" xmlns:p="http://schemas.microsoft.com/office/2006/metadata/properties" xmlns:ns2="522cabfc-c23e-4534-bc67-c569f3b3b8a3" xmlns:ns3="db7fbe7d-7135-4d0c-b596-d06cdf264ec5" targetNamespace="http://schemas.microsoft.com/office/2006/metadata/properties" ma:root="true" ma:fieldsID="607aeb887c96cd0201a24e00bfced12e" ns2:_="" ns3:_="">
    <xsd:import namespace="522cabfc-c23e-4534-bc67-c569f3b3b8a3"/>
    <xsd:import namespace="db7fbe7d-7135-4d0c-b596-d06cdf264e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cabfc-c23e-4534-bc67-c569f3b3b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c5b9f97-a3a9-4673-b973-1f963bf50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fbe7d-7135-4d0c-b596-d06cdf264e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9e0c94-8a37-408a-bbd1-9e410d121799}" ma:internalName="TaxCatchAll" ma:showField="CatchAllData" ma:web="db7fbe7d-7135-4d0c-b596-d06cdf264e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K I D A A B Q S w M E F A A C A A g A g J G M V z J D V 6 m k A A A A 9 g A A A B I A H A B D b 2 5 m a W c v U G F j a 2 F n Z S 5 4 b W w g o h g A K K A U A A A A A A A A A A A A A A A A A A A A A A A A A A A A h Y 9 B D o I w F E S v Q r q n L S U m h n z K w q 0 k J k T j t o G K j f A x t F j u 5 s I j e Q U x i r p z O W / e Y u Z + v U E 2 t k 1 w 0 b 0 1 H a Y k o p w E G s u u M l i n Z H C H c E k y C R t V n l S t g 0 l G m 4 y 2 S s n R u X P C m P e e + p h 2 f c 0 E 5 x H b 5 + u i P O p W k Y 9 s / s u h Q e s U l p p I 2 L 3 G S E E j E d M F F 5 Q D m y H k B r + C m P Y + 2 x 8 I q 6 F x Q 6 + l x n B b A J s j s P c H + Q B Q S w M E F A A C A A g A g J G M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C R j F e I c 6 R J n A A A A N Y A A A A T A B w A R m 9 y b X V s Y X M v U 2 V j d G l v b j E u b S C i G A A o o B Q A A A A A A A A A A A A A A A A A A A A A A A A A A A B t j T 0 L g z A Q h v d A / k N I F w U R n M U p d O 2 i 0 E E c o r 1 W M e Z K c o J F / O + N z d p 3 O X g / n v M w 0 I R W 1 P E W J W e c + V E 7 e I h G 9 w Y K U Q k D x J k I q n F 1 A w T n u g 1 g c r U 6 B 5 b u 6 O Y e c U 7 S v b 3 p B S o Z l 7 I 7 W o W W Q q X L I u A i 1 a j t 6 4 R / 3 i A D 6 V f N G 6 e t f 6 J b F J p 1 s W f o k / g t 2 3 c Z 3 U J m g k I i C D Y 6 j p S z y f 7 F l l 9 Q S w E C L Q A U A A I A C A C A k Y x X M k N X q a Q A A A D 2 A A A A E g A A A A A A A A A A A A A A A A A A A A A A Q 2 9 u Z m l n L 1 B h Y 2 t h Z 2 U u e G 1 s U E s B A i 0 A F A A C A A g A g J G M V w / K 6 a u k A A A A 6 Q A A A B M A A A A A A A A A A A A A A A A A 8 A A A A F t D b 2 5 0 Z W 5 0 X 1 R 5 c G V z X S 5 4 b W x Q S w E C L Q A U A A I A C A C A k Y x X i H O k S Z w A A A D W A A A A E w A A A A A A A A A A A A A A A A D h A Q A A R m 9 y b X V s Y X M v U 2 V j d G l v b j E u b V B L B Q Y A A A A A A w A D A M I A A A D K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D B w A A A A A A A K E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T J U M j M 6 M T E 6 N D A u N D M 4 O D I 5 M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k J 5 N 1 x z D Z S Z N l 8 3 w T q u h H A A A A A A I A A A A A A B B m A A A A A Q A A I A A A A I Q B B 9 q R C 5 w 3 D g z Q G B J 0 f 5 / m P 1 C W J l i D A S V Z m z i A I d Y U A A A A A A 6 A A A A A A g A A I A A A A I O 3 r U H b A c u v O G 1 S y P 2 l d I n H z C I m D Z M V S Q T e E l n A + u j e U A A A A O + C I / B U z m / d 5 r O m 2 3 B C 4 U W G Y 0 v C S T b 8 O Q k A 9 g H E I 4 C 9 2 o 3 N n 8 4 m g 5 a 6 S d s / o 9 6 9 Z o a G B M e G R 1 T J G T O V 0 l W s t 6 0 j a m d V C v 3 X L 1 x a o 5 g W 2 E S j Q A A A A O 8 R o F 3 Y + J Q F B + 7 Z t j L h y L K 7 w h 9 O 3 S D 7 L 8 K S x a M 1 R M c s O R J i Y s 3 O U 3 E o y S G J L l t Y L Y U 5 J g J b h B N d m a D 7 8 9 D N 3 V E = < / D a t a M a s h u p > 
</file>

<file path=customXml/itemProps1.xml><?xml version="1.0" encoding="utf-8"?>
<ds:datastoreItem xmlns:ds="http://schemas.openxmlformats.org/officeDocument/2006/customXml" ds:itemID="{1463C8BB-C048-4653-A2E3-3BA6454FF6EA}"/>
</file>

<file path=customXml/itemProps2.xml><?xml version="1.0" encoding="utf-8"?>
<ds:datastoreItem xmlns:ds="http://schemas.openxmlformats.org/officeDocument/2006/customXml" ds:itemID="{D8E9BB21-63A8-428B-95CB-79D58991BB51}"/>
</file>

<file path=customXml/itemProps3.xml><?xml version="1.0" encoding="utf-8"?>
<ds:datastoreItem xmlns:ds="http://schemas.openxmlformats.org/officeDocument/2006/customXml" ds:itemID="{DBB42EA8-94B1-4781-AA06-EBE2371D2331}"/>
</file>

<file path=customXml/itemProps4.xml><?xml version="1.0" encoding="utf-8"?>
<ds:datastoreItem xmlns:ds="http://schemas.openxmlformats.org/officeDocument/2006/customXml" ds:itemID="{52C26F88-FDF3-45D3-8F9E-D2824528FB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Ayala</dc:creator>
  <cp:keywords/>
  <dc:description/>
  <cp:lastModifiedBy>ext-vgiorgione@arpae.it</cp:lastModifiedBy>
  <cp:revision/>
  <dcterms:created xsi:type="dcterms:W3CDTF">2023-12-12T14:46:52Z</dcterms:created>
  <dcterms:modified xsi:type="dcterms:W3CDTF">2024-01-22T08:16:51Z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0x0101006F01C65E86522E49B4431E4025AB76F7</vt:lpwstr>
  </property>
  <property fmtid="{D5CDD505-2E9C-101B-9397-08002B2CF9AE}" pid="3" name="MediaServiceImageTags">
    <vt:lpwstr/>
  </property>
</Properties>
</file>